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1. Size of labour force" sheetId="1" r:id="rId4"/>
    <sheet state="visible" name="Q2. Size of employed persons" sheetId="2" r:id="rId5"/>
    <sheet state="visible" name="Q3. Table" sheetId="3" r:id="rId6"/>
    <sheet state="visible" name="Charts" sheetId="4" r:id="rId7"/>
  </sheets>
  <definedNames/>
  <calcPr/>
</workbook>
</file>

<file path=xl/sharedStrings.xml><?xml version="1.0" encoding="utf-8"?>
<sst xmlns="http://schemas.openxmlformats.org/spreadsheetml/2006/main" count="363" uniqueCount="92">
  <si>
    <t>Absolutely changes in Labour force (millions)</t>
  </si>
  <si>
    <t>Source: CMIE Economic Outlook</t>
  </si>
  <si>
    <t>Total Labour force</t>
  </si>
  <si>
    <t>Female Labour force</t>
  </si>
  <si>
    <t>Male Labour force</t>
  </si>
  <si>
    <t>Drop</t>
  </si>
  <si>
    <t>% decline (y.o.y.)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</si>
  <si>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</si>
  <si>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</si>
  <si>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</si>
  <si>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</si>
  <si>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</si>
  <si>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</si>
  <si>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</si>
  <si>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</si>
  <si>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</si>
  <si>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</si>
  <si>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</si>
  <si>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</si>
  <si>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Urban Labour force</t>
  </si>
  <si>
    <t>Female Urban Labour force</t>
  </si>
  <si>
    <t>Male Urban Labour force</t>
  </si>
  <si>
    <t>Total Rural Labour force</t>
  </si>
  <si>
    <t>Female Rural Labour force</t>
  </si>
  <si>
    <t>Male Rural Labour force</t>
  </si>
  <si>
    <t>Absolutely changes in employed persons (millions)</t>
  </si>
  <si>
    <t>Total Employed persons</t>
  </si>
  <si>
    <t>Females Employed</t>
  </si>
  <si>
    <t>Males Employed</t>
  </si>
  <si>
    <t>Total Urban Employed Persons</t>
  </si>
  <si>
    <t>Urban Females Employed</t>
  </si>
  <si>
    <t>Urban Males Employed</t>
  </si>
  <si>
    <t>Total Rural Employed Persons</t>
  </si>
  <si>
    <t>Rural Females Employed</t>
  </si>
  <si>
    <t>Rural Males Employed</t>
  </si>
  <si>
    <t>Size of the Labour Force</t>
  </si>
  <si>
    <t>Women</t>
  </si>
  <si>
    <t>Men</t>
  </si>
  <si>
    <t>Total</t>
  </si>
  <si>
    <t>Post-Lockdown - immediate impact</t>
  </si>
  <si>
    <t>50 m</t>
  </si>
  <si>
    <t>381 m</t>
  </si>
  <si>
    <t>431 m</t>
  </si>
  <si>
    <t>37 m</t>
  </si>
  <si>
    <t>332 m</t>
  </si>
  <si>
    <t>369 m</t>
  </si>
  <si>
    <t>Decline in Numbers (April 2019 to April 2020)</t>
  </si>
  <si>
    <t>13 m</t>
  </si>
  <si>
    <t>49 m</t>
  </si>
  <si>
    <t>62 m</t>
  </si>
  <si>
    <t>Decline in percentage (April 2019 to April 2020)</t>
  </si>
  <si>
    <t>8 months after lockdown</t>
  </si>
  <si>
    <t>52 m</t>
  </si>
  <si>
    <t>382 m</t>
  </si>
  <si>
    <t>434 m</t>
  </si>
  <si>
    <t>45 m</t>
  </si>
  <si>
    <t>376 m</t>
  </si>
  <si>
    <t>421 m</t>
  </si>
  <si>
    <t>Decline in Numbers (Nov 2019 to Nov 2020)</t>
  </si>
  <si>
    <t>6.7 m</t>
  </si>
  <si>
    <t>6.8 m</t>
  </si>
  <si>
    <t>13.5 m</t>
  </si>
  <si>
    <t>Decline in percentage (Nov 2019 to Nov 2020)</t>
  </si>
  <si>
    <t>(Source: Mitali Nikore)</t>
  </si>
  <si>
    <t>Number of Employed Persons</t>
  </si>
  <si>
    <t>41 m</t>
  </si>
  <si>
    <t>358 m</t>
  </si>
  <si>
    <t>399 m</t>
  </si>
  <si>
    <t>26 m</t>
  </si>
  <si>
    <t>256 m</t>
  </si>
  <si>
    <t>282 m</t>
  </si>
  <si>
    <t>15 m</t>
  </si>
  <si>
    <t>102 m</t>
  </si>
  <si>
    <t>117 m</t>
  </si>
  <si>
    <t>44 m</t>
  </si>
  <si>
    <t>359 m</t>
  </si>
  <si>
    <t>403 m</t>
  </si>
  <si>
    <t>38 m</t>
  </si>
  <si>
    <t>355 m</t>
  </si>
  <si>
    <t>394 m</t>
  </si>
  <si>
    <t>5.7 m</t>
  </si>
  <si>
    <t>3.8 m</t>
  </si>
  <si>
    <t>9.5 m</t>
  </si>
  <si>
    <t xml:space="preserve">Month </t>
  </si>
  <si>
    <t xml:space="preserve">All India </t>
  </si>
  <si>
    <t xml:space="preserve">Urban </t>
  </si>
  <si>
    <t xml:space="preserve">Rural </t>
  </si>
  <si>
    <t>Y-o-Y differences (%)</t>
  </si>
  <si>
    <t xml:space="preserve">Total </t>
  </si>
  <si>
    <t xml:space="preserve">Male </t>
  </si>
  <si>
    <t xml:space="preserve">Female </t>
  </si>
  <si>
    <t>January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</si>
</sst>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0.0%"/>
    <numFmt numFmtId="166" formatCode="#,##0.0"/>
  </numFmts>
  <fonts count="12">
    <font>
      <sz val="11.0"/>
      <color theme="1"/>
      <name val="Arial"/>
    </font>
    <font>
      <b/>
      <i/>
      <sz val="11.0"/>
      <color theme="1"/>
      <name val="Calibri"/>
    </font>
    <font>
      <i/>
      <sz val="11.0"/>
      <color theme="1"/>
      <name val="Calibri"/>
    </font>
    <font>
      <b/>
      <sz val="11.0"/>
      <color theme="1"/>
      <name val="Calibri"/>
    </font>
    <font/>
    <font>
      <sz val="11.0"/>
      <color theme="1"/>
      <name val="Calibri"/>
    </font>
    <font>
      <sz val="9.0"/>
      <color theme="1"/>
      <name val="Arial"/>
    </font>
    <font>
      <b/>
      <i/>
      <sz val="9.0"/>
      <color theme="1"/>
      <name val="Arial"/>
    </font>
    <font>
      <sz val="9.0"/>
      <color rgb="FF000000"/>
      <name val="Arial"/>
    </font>
    <font>
      <b/>
      <sz val="9.0"/>
      <color rgb="FF000000"/>
      <name val="Arial"/>
    </font>
    <font>
      <b/>
      <i/>
      <sz val="9.0"/>
      <color rgb="FF000000"/>
      <name val="Arial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horizontal="center" vertical="center"/>
    </xf>
    <xf borderId="4" fillId="0" fontId="5" numFmtId="0" xfId="0" applyAlignment="1" applyBorder="1" applyFont="1">
      <alignment horizontal="center" vertical="center"/>
    </xf>
    <xf borderId="4" fillId="0" fontId="5" numFmtId="1" xfId="0" applyBorder="1" applyFont="1" applyNumberFormat="1"/>
    <xf borderId="4" fillId="0" fontId="5" numFmtId="164" xfId="0" applyAlignment="1" applyBorder="1" applyFont="1" applyNumberFormat="1">
      <alignment horizontal="center" vertical="center"/>
    </xf>
    <xf borderId="4" fillId="2" fontId="5" numFmtId="0" xfId="0" applyAlignment="1" applyBorder="1" applyFill="1" applyFont="1">
      <alignment horizontal="center" vertical="center"/>
    </xf>
    <xf borderId="4" fillId="2" fontId="5" numFmtId="1" xfId="0" applyBorder="1" applyFont="1" applyNumberFormat="1"/>
    <xf borderId="4" fillId="2" fontId="5" numFmtId="164" xfId="0" applyAlignment="1" applyBorder="1" applyFont="1" applyNumberFormat="1">
      <alignment horizontal="right" vertical="center"/>
    </xf>
    <xf borderId="4" fillId="2" fontId="5" numFmtId="165" xfId="0" applyAlignment="1" applyBorder="1" applyFont="1" applyNumberFormat="1">
      <alignment horizontal="center" vertical="center"/>
    </xf>
    <xf borderId="4" fillId="2" fontId="5" numFmtId="3" xfId="0" applyAlignment="1" applyBorder="1" applyFont="1" applyNumberFormat="1">
      <alignment horizontal="right" vertical="center"/>
    </xf>
    <xf borderId="4" fillId="0" fontId="5" numFmtId="164" xfId="0" applyAlignment="1" applyBorder="1" applyFont="1" applyNumberFormat="1">
      <alignment horizontal="right" vertical="center"/>
    </xf>
    <xf borderId="4" fillId="0" fontId="5" numFmtId="165" xfId="0" applyAlignment="1" applyBorder="1" applyFont="1" applyNumberFormat="1">
      <alignment horizontal="center" vertical="center"/>
    </xf>
    <xf borderId="4" fillId="0" fontId="5" numFmtId="3" xfId="0" applyAlignment="1" applyBorder="1" applyFont="1" applyNumberFormat="1">
      <alignment horizontal="right" vertical="center"/>
    </xf>
    <xf borderId="4" fillId="0" fontId="5" numFmtId="166" xfId="0" applyAlignment="1" applyBorder="1" applyFont="1" applyNumberFormat="1">
      <alignment horizontal="right" vertical="center"/>
    </xf>
    <xf borderId="5" fillId="2" fontId="5" numFmtId="1" xfId="0" applyBorder="1" applyFont="1" applyNumberFormat="1"/>
    <xf borderId="4" fillId="2" fontId="5" numFmtId="166" xfId="0" applyAlignment="1" applyBorder="1" applyFont="1" applyNumberFormat="1">
      <alignment horizontal="right" vertical="center"/>
    </xf>
    <xf borderId="4" fillId="0" fontId="5" numFmtId="9" xfId="0" applyAlignment="1" applyBorder="1" applyFont="1" applyNumberFormat="1">
      <alignment horizontal="center" vertical="center"/>
    </xf>
    <xf borderId="0" fillId="0" fontId="5" numFmtId="1" xfId="0" applyFont="1" applyNumberFormat="1"/>
    <xf borderId="4" fillId="0" fontId="5" numFmtId="3" xfId="0" applyAlignment="1" applyBorder="1" applyFont="1" applyNumberFormat="1">
      <alignment horizontal="center" vertical="center"/>
    </xf>
    <xf borderId="4" fillId="0" fontId="5" numFmtId="166" xfId="0" applyAlignment="1" applyBorder="1" applyFont="1" applyNumberFormat="1">
      <alignment horizontal="center" vertical="center"/>
    </xf>
    <xf borderId="4" fillId="2" fontId="5" numFmtId="166" xfId="0" applyAlignment="1" applyBorder="1" applyFont="1" applyNumberFormat="1">
      <alignment horizontal="center" vertical="center"/>
    </xf>
    <xf borderId="4" fillId="0" fontId="5" numFmtId="1" xfId="0" applyAlignment="1" applyBorder="1" applyFont="1" applyNumberFormat="1">
      <alignment horizontal="center" vertical="center"/>
    </xf>
    <xf borderId="4" fillId="2" fontId="5" numFmtId="1" xfId="0" applyAlignment="1" applyBorder="1" applyFont="1" applyNumberFormat="1">
      <alignment horizontal="right" vertical="center"/>
    </xf>
    <xf borderId="4" fillId="0" fontId="5" numFmtId="1" xfId="0" applyAlignment="1" applyBorder="1" applyFont="1" applyNumberFormat="1">
      <alignment horizontal="right" vertical="center"/>
    </xf>
    <xf borderId="4" fillId="2" fontId="5" numFmtId="3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4" fillId="0" fontId="6" numFmtId="0" xfId="0" applyAlignment="1" applyBorder="1" applyFont="1">
      <alignment vertical="center"/>
    </xf>
    <xf borderId="4" fillId="3" fontId="8" numFmtId="0" xfId="0" applyAlignment="1" applyBorder="1" applyFill="1" applyFont="1">
      <alignment horizontal="center" vertical="center"/>
    </xf>
    <xf borderId="4" fillId="3" fontId="9" numFmtId="0" xfId="0" applyAlignment="1" applyBorder="1" applyFont="1">
      <alignment horizontal="center" vertical="center"/>
    </xf>
    <xf borderId="1" fillId="4" fontId="10" numFmtId="0" xfId="0" applyAlignment="1" applyBorder="1" applyFill="1" applyFont="1">
      <alignment horizontal="left" vertical="center"/>
    </xf>
    <xf borderId="4" fillId="3" fontId="8" numFmtId="17" xfId="0" applyAlignment="1" applyBorder="1" applyFont="1" applyNumberFormat="1">
      <alignment horizontal="center" vertical="center"/>
    </xf>
    <xf borderId="4" fillId="3" fontId="9" numFmtId="9" xfId="0" applyAlignment="1" applyBorder="1" applyFont="1" applyNumberFormat="1">
      <alignment horizontal="center" vertical="center"/>
    </xf>
    <xf borderId="4" fillId="0" fontId="8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4" fillId="3" fontId="9" numFmtId="165" xfId="0" applyAlignment="1" applyBorder="1" applyFont="1" applyNumberFormat="1">
      <alignment horizontal="center" vertical="center"/>
    </xf>
    <xf borderId="0" fillId="0" fontId="11" numFmtId="0" xfId="0" applyFont="1"/>
    <xf borderId="0" fillId="0" fontId="5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Segoe UI"/>
              </a:defRPr>
            </a:pPr>
            <a:r>
              <a:rPr b="0" i="0" sz="1400">
                <a:solidFill>
                  <a:srgbClr val="757575"/>
                </a:solidFill>
                <a:latin typeface="Segoe UI"/>
              </a:rPr>
              <a:t>Year-on-Year change in size of total labour labour (%)</a:t>
            </a:r>
          </a:p>
        </c:rich>
      </c:tx>
      <c:overlay val="0"/>
    </c:title>
    <c:plotArea>
      <c:layout/>
      <c:lineChart>
        <c:ser>
          <c:idx val="0"/>
          <c:order val="0"/>
          <c:tx>
            <c:v>Male 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Segoe U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Charts!$A$8:$A$15</c:f>
            </c:strRef>
          </c:cat>
          <c:val>
            <c:numRef>
              <c:f>Charts!$C$8:$C$15</c:f>
              <c:numCache/>
            </c:numRef>
          </c:val>
          <c:smooth val="0"/>
        </c:ser>
        <c:ser>
          <c:idx val="1"/>
          <c:order val="1"/>
          <c:tx>
            <c:v>Female 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Segoe U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Charts!$A$8:$A$15</c:f>
            </c:strRef>
          </c:cat>
          <c:val>
            <c:numRef>
              <c:f>Charts!$D$8:$D$15</c:f>
              <c:numCache/>
            </c:numRef>
          </c:val>
          <c:smooth val="0"/>
        </c:ser>
        <c:axId val="1979786103"/>
        <c:axId val="730929997"/>
      </c:lineChart>
      <c:catAx>
        <c:axId val="1979786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Segoe UI"/>
              </a:defRPr>
            </a:pPr>
          </a:p>
        </c:txPr>
        <c:crossAx val="730929997"/>
      </c:catAx>
      <c:valAx>
        <c:axId val="7309299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Segoe UI"/>
              </a:defRPr>
            </a:pPr>
          </a:p>
        </c:txPr>
        <c:crossAx val="1979786103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Segoe UI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Segoe UI"/>
              </a:defRPr>
            </a:pPr>
            <a:r>
              <a:rPr b="0" i="0" sz="1400">
                <a:solidFill>
                  <a:srgbClr val="757575"/>
                </a:solidFill>
                <a:latin typeface="Segoe UI"/>
              </a:rPr>
              <a:t>Year-on-Year change in size of urban labour labour (%)</a:t>
            </a:r>
          </a:p>
        </c:rich>
      </c:tx>
      <c:overlay val="0"/>
    </c:title>
    <c:plotArea>
      <c:layout/>
      <c:lineChart>
        <c:ser>
          <c:idx val="0"/>
          <c:order val="0"/>
          <c:tx>
            <c:v>Male 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Segoe U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Charts!$A$8:$A$15</c:f>
            </c:strRef>
          </c:cat>
          <c:val>
            <c:numRef>
              <c:f>Charts!$F$8:$F$15</c:f>
              <c:numCache/>
            </c:numRef>
          </c:val>
          <c:smooth val="0"/>
        </c:ser>
        <c:ser>
          <c:idx val="1"/>
          <c:order val="1"/>
          <c:tx>
            <c:v>Female 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Segoe U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Charts!$A$8:$A$15</c:f>
            </c:strRef>
          </c:cat>
          <c:val>
            <c:numRef>
              <c:f>Charts!$G$8:$G$15</c:f>
              <c:numCache/>
            </c:numRef>
          </c:val>
          <c:smooth val="0"/>
        </c:ser>
        <c:axId val="362237364"/>
        <c:axId val="1719723888"/>
      </c:lineChart>
      <c:catAx>
        <c:axId val="3622373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Segoe UI"/>
              </a:defRPr>
            </a:pPr>
          </a:p>
        </c:txPr>
        <c:crossAx val="1719723888"/>
      </c:catAx>
      <c:valAx>
        <c:axId val="17197238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Segoe UI"/>
              </a:defRPr>
            </a:pPr>
          </a:p>
        </c:txPr>
        <c:crossAx val="362237364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Segoe UI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Segoe UI"/>
              </a:defRPr>
            </a:pPr>
            <a:r>
              <a:rPr b="0" i="0" sz="1400">
                <a:solidFill>
                  <a:srgbClr val="757575"/>
                </a:solidFill>
                <a:latin typeface="Segoe UI"/>
              </a:rPr>
              <a:t>Year-on-Year change in size of rural labour labour (%)</a:t>
            </a:r>
          </a:p>
        </c:rich>
      </c:tx>
      <c:overlay val="0"/>
    </c:title>
    <c:plotArea>
      <c:layout/>
      <c:lineChart>
        <c:ser>
          <c:idx val="0"/>
          <c:order val="0"/>
          <c:tx>
            <c:v>Male 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Segoe U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Charts!$A$8:$A$15</c:f>
            </c:strRef>
          </c:cat>
          <c:val>
            <c:numRef>
              <c:f>Charts!$I$8:$I$15</c:f>
              <c:numCache/>
            </c:numRef>
          </c:val>
          <c:smooth val="0"/>
        </c:ser>
        <c:ser>
          <c:idx val="1"/>
          <c:order val="1"/>
          <c:tx>
            <c:v>Female 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Segoe U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Charts!$A$8:$A$15</c:f>
            </c:strRef>
          </c:cat>
          <c:val>
            <c:numRef>
              <c:f>Charts!$J$8:$J$15</c:f>
              <c:numCache/>
            </c:numRef>
          </c:val>
          <c:smooth val="0"/>
        </c:ser>
        <c:axId val="1768329805"/>
        <c:axId val="274263465"/>
      </c:lineChart>
      <c:catAx>
        <c:axId val="17683298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Segoe UI"/>
              </a:defRPr>
            </a:pPr>
          </a:p>
        </c:txPr>
        <c:crossAx val="274263465"/>
      </c:catAx>
      <c:valAx>
        <c:axId val="274263465"/>
        <c:scaling>
          <c:orientation val="minMax"/>
          <c:min val="-0.30000000000000004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Segoe UI"/>
              </a:defRPr>
            </a:pPr>
          </a:p>
        </c:txPr>
        <c:crossAx val="1768329805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Segoe UI"/>
            </a:defRPr>
          </a:pPr>
        </a:p>
      </c:txPr>
    </c:legend>
    <c:plotVisOnly val="1"/>
  </c:chart>
</c:chartSpace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17</xdr:row>
      <xdr:rowOff>85725</xdr:rowOff>
    </xdr:from>
    <xdr:ext cx="4105275" cy="27432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266700</xdr:colOff>
      <xdr:row>33</xdr:row>
      <xdr:rowOff>133350</xdr:rowOff>
    </xdr:from>
    <xdr:ext cx="4105275" cy="274320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295275</xdr:colOff>
      <xdr:row>17</xdr:row>
      <xdr:rowOff>171450</xdr:rowOff>
    </xdr:from>
    <xdr:ext cx="4105275" cy="2743200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7.63"/>
    <col customWidth="1" min="3" max="4" width="9.75"/>
    <col customWidth="1" min="5" max="5" width="8.88"/>
    <col customWidth="1" min="6" max="6" width="12.25"/>
    <col customWidth="1" min="7" max="8" width="7.63"/>
    <col customWidth="1" min="9" max="10" width="8.88"/>
    <col customWidth="1" min="11" max="11" width="7.63"/>
    <col customWidth="1" min="12" max="12" width="12.25"/>
    <col customWidth="1" min="13" max="14" width="7.63"/>
    <col customWidth="1" min="15" max="16" width="9.75"/>
    <col customWidth="1" min="17" max="17" width="7.63"/>
    <col customWidth="1" min="18" max="18" width="12.25"/>
    <col customWidth="1" min="19" max="26" width="7.63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/>
    <row r="4" ht="14.25" customHeight="1">
      <c r="B4" s="3" t="s">
        <v>2</v>
      </c>
      <c r="C4" s="4"/>
      <c r="D4" s="4"/>
      <c r="E4" s="4"/>
      <c r="F4" s="5"/>
      <c r="G4" s="6"/>
      <c r="H4" s="3" t="s">
        <v>3</v>
      </c>
      <c r="I4" s="4"/>
      <c r="J4" s="4"/>
      <c r="K4" s="4"/>
      <c r="L4" s="5"/>
      <c r="M4" s="6"/>
      <c r="N4" s="3" t="s">
        <v>4</v>
      </c>
      <c r="O4" s="4"/>
      <c r="P4" s="4"/>
      <c r="Q4" s="4"/>
      <c r="R4" s="5"/>
    </row>
    <row r="5" ht="14.25" customHeight="1">
      <c r="B5" s="7"/>
      <c r="C5" s="7"/>
      <c r="D5" s="7"/>
      <c r="E5" s="7"/>
      <c r="F5" s="7"/>
      <c r="G5" s="6"/>
      <c r="H5" s="7"/>
      <c r="I5" s="7"/>
      <c r="J5" s="7"/>
      <c r="K5" s="7"/>
      <c r="L5" s="7"/>
      <c r="M5" s="6"/>
      <c r="N5" s="7"/>
      <c r="O5" s="7"/>
      <c r="P5" s="7"/>
      <c r="Q5" s="7"/>
      <c r="R5" s="7"/>
    </row>
    <row r="6" ht="14.25" customHeight="1">
      <c r="B6" s="7"/>
      <c r="C6" s="7">
        <v>2019.0</v>
      </c>
      <c r="D6" s="7">
        <v>2020.0</v>
      </c>
      <c r="E6" s="7" t="s">
        <v>5</v>
      </c>
      <c r="F6" s="7" t="s">
        <v>6</v>
      </c>
      <c r="G6" s="6"/>
      <c r="H6" s="7"/>
      <c r="I6" s="7">
        <v>2019.0</v>
      </c>
      <c r="J6" s="7">
        <v>2020.0</v>
      </c>
      <c r="K6" s="7" t="s">
        <v>5</v>
      </c>
      <c r="L6" s="7" t="s">
        <v>6</v>
      </c>
      <c r="M6" s="6"/>
      <c r="N6" s="7"/>
      <c r="O6" s="7">
        <v>2019.0</v>
      </c>
      <c r="P6" s="7">
        <v>2020.0</v>
      </c>
      <c r="Q6" s="7" t="s">
        <v>5</v>
      </c>
      <c r="R6" s="7" t="s">
        <v>6</v>
      </c>
    </row>
    <row r="7" ht="14.25" customHeight="1">
      <c r="B7" s="7" t="s">
        <v>7</v>
      </c>
      <c r="C7" s="8">
        <f>436024687/(10^6)</f>
        <v>436.024687</v>
      </c>
      <c r="D7" s="8">
        <f>442402267/(10^6)</f>
        <v>442.402267</v>
      </c>
      <c r="E7" s="9"/>
      <c r="F7" s="7"/>
      <c r="G7" s="6"/>
      <c r="H7" s="7" t="s">
        <v>7</v>
      </c>
      <c r="I7" s="8">
        <f>56446878/(10^6)</f>
        <v>56.446878</v>
      </c>
      <c r="J7" s="8">
        <f>54413515/(10^6)</f>
        <v>54.413515</v>
      </c>
      <c r="K7" s="7"/>
      <c r="L7" s="7"/>
      <c r="M7" s="6"/>
      <c r="N7" s="7" t="s">
        <v>7</v>
      </c>
      <c r="O7" s="8">
        <f>379577809/(10^6)</f>
        <v>379.577809</v>
      </c>
      <c r="P7" s="8">
        <f>387988752/(10^6)</f>
        <v>387.988752</v>
      </c>
      <c r="Q7" s="7"/>
      <c r="R7" s="7"/>
    </row>
    <row r="8" ht="14.25" customHeight="1">
      <c r="B8" s="7" t="s">
        <v>8</v>
      </c>
      <c r="C8" s="8">
        <f>430964135/(10^6)</f>
        <v>430.964135</v>
      </c>
      <c r="D8" s="8">
        <f>440106301/(10^6)</f>
        <v>440.106301</v>
      </c>
      <c r="E8" s="9"/>
      <c r="F8" s="7"/>
      <c r="G8" s="6"/>
      <c r="H8" s="7" t="s">
        <v>8</v>
      </c>
      <c r="I8" s="8">
        <f>51076627/(10^6)</f>
        <v>51.076627</v>
      </c>
      <c r="J8" s="8">
        <f>51224169/(10^6)</f>
        <v>51.224169</v>
      </c>
      <c r="K8" s="7"/>
      <c r="L8" s="7"/>
      <c r="M8" s="6"/>
      <c r="N8" s="7" t="s">
        <v>8</v>
      </c>
      <c r="O8" s="8">
        <f>379887508/(10^6)</f>
        <v>379.887508</v>
      </c>
      <c r="P8" s="8">
        <f>388882132/(10^6)</f>
        <v>388.882132</v>
      </c>
      <c r="Q8" s="7"/>
      <c r="R8" s="7"/>
    </row>
    <row r="9" ht="14.25" customHeight="1">
      <c r="B9" s="7" t="s">
        <v>9</v>
      </c>
      <c r="C9" s="8">
        <f>431291010/(10^6)</f>
        <v>431.29101</v>
      </c>
      <c r="D9" s="8">
        <f>433781217/(10^6)</f>
        <v>433.781217</v>
      </c>
      <c r="E9" s="9"/>
      <c r="F9" s="7"/>
      <c r="G9" s="6"/>
      <c r="H9" s="7" t="s">
        <v>9</v>
      </c>
      <c r="I9" s="8">
        <f>53360407/(10^6)</f>
        <v>53.360407</v>
      </c>
      <c r="J9" s="8">
        <f>50376878/(10^6)</f>
        <v>50.376878</v>
      </c>
      <c r="K9" s="7"/>
      <c r="L9" s="7"/>
      <c r="M9" s="6"/>
      <c r="N9" s="7" t="s">
        <v>9</v>
      </c>
      <c r="O9" s="8">
        <f>377930604/(10^6)</f>
        <v>377.930604</v>
      </c>
      <c r="P9" s="8">
        <f>383404339/(10^6)</f>
        <v>383.404339</v>
      </c>
      <c r="Q9" s="7"/>
      <c r="R9" s="7"/>
    </row>
    <row r="10" ht="14.25" customHeight="1">
      <c r="B10" s="10" t="s">
        <v>10</v>
      </c>
      <c r="C10" s="11">
        <f>430911861/(10^6)</f>
        <v>430.911861</v>
      </c>
      <c r="D10" s="11">
        <f>368996585/(10^6)</f>
        <v>368.996585</v>
      </c>
      <c r="E10" s="12">
        <f t="shared" ref="E10:E17" si="1">D10-C10</f>
        <v>-61.915276</v>
      </c>
      <c r="F10" s="13">
        <f t="shared" ref="F10:F17" si="2">E10/C10</f>
        <v>-0.143684316</v>
      </c>
      <c r="G10" s="6"/>
      <c r="H10" s="10" t="s">
        <v>10</v>
      </c>
      <c r="I10" s="11">
        <f>49673673/(10^6)</f>
        <v>49.673673</v>
      </c>
      <c r="J10" s="11">
        <f>36979524/(10^6)</f>
        <v>36.979524</v>
      </c>
      <c r="K10" s="14">
        <f t="shared" ref="K10:K17" si="3">J10-I10</f>
        <v>-12.694149</v>
      </c>
      <c r="L10" s="13">
        <f t="shared" ref="L10:L17" si="4">K10/I10</f>
        <v>-0.2555508428</v>
      </c>
      <c r="M10" s="6"/>
      <c r="N10" s="10" t="s">
        <v>10</v>
      </c>
      <c r="O10" s="11">
        <f>381238188/(10^6)</f>
        <v>381.238188</v>
      </c>
      <c r="P10" s="11">
        <f>332017061/(10^6)</f>
        <v>332.017061</v>
      </c>
      <c r="Q10" s="14">
        <f t="shared" ref="Q10:Q17" si="5">P10-O10</f>
        <v>-49.221127</v>
      </c>
      <c r="R10" s="13">
        <f t="shared" ref="R10:R17" si="6">Q10/O10</f>
        <v>-0.1291085955</v>
      </c>
    </row>
    <row r="11" ht="14.25" customHeight="1">
      <c r="B11" s="7" t="s">
        <v>11</v>
      </c>
      <c r="C11" s="8">
        <f>434221287/(10^6)</f>
        <v>434.221287</v>
      </c>
      <c r="D11" s="8">
        <f>400920956/(10^6)</f>
        <v>400.920956</v>
      </c>
      <c r="E11" s="15">
        <f t="shared" si="1"/>
        <v>-33.300331</v>
      </c>
      <c r="F11" s="16">
        <f t="shared" si="2"/>
        <v>-0.07668977085</v>
      </c>
      <c r="G11" s="6"/>
      <c r="H11" s="7" t="s">
        <v>11</v>
      </c>
      <c r="I11" s="8">
        <f>52919658/(10^6)</f>
        <v>52.919658</v>
      </c>
      <c r="J11" s="8">
        <f>44054574/(10^6)</f>
        <v>44.054574</v>
      </c>
      <c r="K11" s="17">
        <f t="shared" si="3"/>
        <v>-8.865084</v>
      </c>
      <c r="L11" s="16">
        <f t="shared" si="4"/>
        <v>-0.1675196767</v>
      </c>
      <c r="M11" s="6"/>
      <c r="N11" s="7" t="s">
        <v>11</v>
      </c>
      <c r="O11" s="8">
        <f>381301629/(10^6)</f>
        <v>381.301629</v>
      </c>
      <c r="P11" s="8">
        <f>356866382/(10^6)</f>
        <v>356.866382</v>
      </c>
      <c r="Q11" s="17">
        <f t="shared" si="5"/>
        <v>-24.435247</v>
      </c>
      <c r="R11" s="16">
        <f t="shared" si="6"/>
        <v>-0.0640837729</v>
      </c>
    </row>
    <row r="12" ht="14.25" customHeight="1">
      <c r="B12" s="7" t="s">
        <v>12</v>
      </c>
      <c r="C12" s="8">
        <f>434534981/(10^6)</f>
        <v>434.534981</v>
      </c>
      <c r="D12" s="8">
        <f>419703516/(10^6)</f>
        <v>419.703516</v>
      </c>
      <c r="E12" s="15">
        <f t="shared" si="1"/>
        <v>-14.831465</v>
      </c>
      <c r="F12" s="16">
        <f t="shared" si="2"/>
        <v>-0.03413180906</v>
      </c>
      <c r="G12" s="6"/>
      <c r="H12" s="7" t="s">
        <v>12</v>
      </c>
      <c r="I12" s="8">
        <f>49658058/(10^6)</f>
        <v>49.658058</v>
      </c>
      <c r="J12" s="8">
        <f>46565451/(10^6)</f>
        <v>46.565451</v>
      </c>
      <c r="K12" s="17">
        <f t="shared" si="3"/>
        <v>-3.092607</v>
      </c>
      <c r="L12" s="16">
        <f t="shared" si="4"/>
        <v>-0.06227804962</v>
      </c>
      <c r="M12" s="6"/>
      <c r="N12" s="7" t="s">
        <v>12</v>
      </c>
      <c r="O12" s="8">
        <f>384876923/(10^6)</f>
        <v>384.876923</v>
      </c>
      <c r="P12" s="8">
        <f>373138065/(10^6)</f>
        <v>373.138065</v>
      </c>
      <c r="Q12" s="17">
        <f t="shared" si="5"/>
        <v>-11.738858</v>
      </c>
      <c r="R12" s="16">
        <f t="shared" si="6"/>
        <v>-0.03050029061</v>
      </c>
    </row>
    <row r="13" ht="14.25" customHeight="1">
      <c r="B13" s="7" t="s">
        <v>13</v>
      </c>
      <c r="C13" s="8">
        <f>435006390/(10^6)</f>
        <v>435.00639</v>
      </c>
      <c r="D13" s="8">
        <f>423716322/(10^6)</f>
        <v>423.716322</v>
      </c>
      <c r="E13" s="15">
        <f t="shared" si="1"/>
        <v>-11.290068</v>
      </c>
      <c r="F13" s="16">
        <f t="shared" si="2"/>
        <v>-0.02595379806</v>
      </c>
      <c r="G13" s="6"/>
      <c r="H13" s="7" t="s">
        <v>13</v>
      </c>
      <c r="I13" s="8">
        <f>53098561/(10^6)</f>
        <v>53.098561</v>
      </c>
      <c r="J13" s="8">
        <f>49085384/(10^6)</f>
        <v>49.085384</v>
      </c>
      <c r="K13" s="17">
        <f t="shared" si="3"/>
        <v>-4.013177</v>
      </c>
      <c r="L13" s="16">
        <f t="shared" si="4"/>
        <v>-0.07557976948</v>
      </c>
      <c r="M13" s="6"/>
      <c r="N13" s="7" t="s">
        <v>13</v>
      </c>
      <c r="O13" s="8">
        <f>381907829/(10^6)</f>
        <v>381.907829</v>
      </c>
      <c r="P13" s="8">
        <f>374630938/(10^6)</f>
        <v>374.630938</v>
      </c>
      <c r="Q13" s="17">
        <f t="shared" si="5"/>
        <v>-7.276891</v>
      </c>
      <c r="R13" s="16">
        <f t="shared" si="6"/>
        <v>-0.01905405034</v>
      </c>
    </row>
    <row r="14" ht="14.25" customHeight="1">
      <c r="B14" s="7" t="s">
        <v>14</v>
      </c>
      <c r="C14" s="8">
        <f>439226533/(10^6)</f>
        <v>439.226533</v>
      </c>
      <c r="D14" s="8">
        <f>428269760/(10^6)</f>
        <v>428.26976</v>
      </c>
      <c r="E14" s="15">
        <f t="shared" si="1"/>
        <v>-10.956773</v>
      </c>
      <c r="F14" s="16">
        <f t="shared" si="2"/>
        <v>-0.02494560819</v>
      </c>
      <c r="G14" s="6"/>
      <c r="H14" s="7" t="s">
        <v>14</v>
      </c>
      <c r="I14" s="8">
        <f>53355498/(10^6)</f>
        <v>53.355498</v>
      </c>
      <c r="J14" s="8">
        <f>47259776/(10^6)</f>
        <v>47.259776</v>
      </c>
      <c r="K14" s="17">
        <f t="shared" si="3"/>
        <v>-6.095722</v>
      </c>
      <c r="L14" s="16">
        <f t="shared" si="4"/>
        <v>-0.1142473077</v>
      </c>
      <c r="M14" s="6"/>
      <c r="N14" s="7" t="s">
        <v>14</v>
      </c>
      <c r="O14" s="8">
        <f>385871034/(10^6)</f>
        <v>385.871034</v>
      </c>
      <c r="P14" s="8">
        <f>381009984/(10^6)</f>
        <v>381.009984</v>
      </c>
      <c r="Q14" s="17">
        <f t="shared" si="5"/>
        <v>-4.86105</v>
      </c>
      <c r="R14" s="16">
        <f t="shared" si="6"/>
        <v>-0.01259760275</v>
      </c>
    </row>
    <row r="15" ht="14.25" customHeight="1">
      <c r="B15" s="7" t="s">
        <v>15</v>
      </c>
      <c r="C15" s="8">
        <f>437989253/(10^6)</f>
        <v>437.989253</v>
      </c>
      <c r="D15" s="8">
        <f>426019000/(10^6)</f>
        <v>426.019</v>
      </c>
      <c r="E15" s="15">
        <f t="shared" si="1"/>
        <v>-11.970253</v>
      </c>
      <c r="F15" s="16">
        <f t="shared" si="2"/>
        <v>-0.02733001533</v>
      </c>
      <c r="G15" s="6"/>
      <c r="H15" s="7" t="s">
        <v>15</v>
      </c>
      <c r="I15" s="8">
        <f>53385793/(10^6)</f>
        <v>53.385793</v>
      </c>
      <c r="J15" s="8">
        <f>47704429/(10^6)</f>
        <v>47.704429</v>
      </c>
      <c r="K15" s="17">
        <f t="shared" si="3"/>
        <v>-5.681364</v>
      </c>
      <c r="L15" s="16">
        <f t="shared" si="4"/>
        <v>-0.1064208974</v>
      </c>
      <c r="M15" s="6"/>
      <c r="N15" s="7" t="s">
        <v>15</v>
      </c>
      <c r="O15" s="8">
        <f>384603460/(10^6)</f>
        <v>384.60346</v>
      </c>
      <c r="P15" s="8">
        <f>378314572/(10^6)</f>
        <v>378.314572</v>
      </c>
      <c r="Q15" s="17">
        <f t="shared" si="5"/>
        <v>-6.288888</v>
      </c>
      <c r="R15" s="16">
        <f t="shared" si="6"/>
        <v>-0.01635161577</v>
      </c>
    </row>
    <row r="16" ht="14.25" customHeight="1">
      <c r="B16" s="7" t="s">
        <v>16</v>
      </c>
      <c r="C16" s="8">
        <f>439735000/(10^6)</f>
        <v>439.735</v>
      </c>
      <c r="D16" s="8">
        <f>426855793/(10^6)</f>
        <v>426.855793</v>
      </c>
      <c r="E16" s="15">
        <f t="shared" si="1"/>
        <v>-12.879207</v>
      </c>
      <c r="F16" s="16">
        <f t="shared" si="2"/>
        <v>-0.0292885647</v>
      </c>
      <c r="G16" s="6"/>
      <c r="H16" s="7" t="s">
        <v>16</v>
      </c>
      <c r="I16" s="8">
        <f>51935454/(10^6)</f>
        <v>51.935454</v>
      </c>
      <c r="J16" s="8">
        <f>46456615/(10^6)</f>
        <v>46.456615</v>
      </c>
      <c r="K16" s="18">
        <f t="shared" si="3"/>
        <v>-5.478839</v>
      </c>
      <c r="L16" s="16">
        <f t="shared" si="4"/>
        <v>-0.105493234</v>
      </c>
      <c r="M16" s="6"/>
      <c r="N16" s="7" t="s">
        <v>16</v>
      </c>
      <c r="O16" s="8">
        <f>387799547/(10^6)</f>
        <v>387.799547</v>
      </c>
      <c r="P16" s="8">
        <f>380399178/(10^6)</f>
        <v>380.399178</v>
      </c>
      <c r="Q16" s="18">
        <f t="shared" si="5"/>
        <v>-7.400369</v>
      </c>
      <c r="R16" s="16">
        <f t="shared" si="6"/>
        <v>-0.01908297484</v>
      </c>
    </row>
    <row r="17" ht="14.25" customHeight="1">
      <c r="B17" s="10" t="s">
        <v>17</v>
      </c>
      <c r="C17" s="11">
        <f>434469407/(10^6)</f>
        <v>434.469407</v>
      </c>
      <c r="D17" s="19">
        <f>420980177/(10^6)</f>
        <v>420.980177</v>
      </c>
      <c r="E17" s="12">
        <f t="shared" si="1"/>
        <v>-13.48923</v>
      </c>
      <c r="F17" s="13">
        <f t="shared" si="2"/>
        <v>-0.03104759457</v>
      </c>
      <c r="G17" s="6"/>
      <c r="H17" s="10" t="s">
        <v>17</v>
      </c>
      <c r="I17" s="11">
        <f>52043783/(10^6)</f>
        <v>52.043783</v>
      </c>
      <c r="J17" s="19">
        <f>45385178/(10^6)</f>
        <v>45.385178</v>
      </c>
      <c r="K17" s="20">
        <f t="shared" si="3"/>
        <v>-6.658605</v>
      </c>
      <c r="L17" s="13">
        <f t="shared" si="4"/>
        <v>-0.1279423711</v>
      </c>
      <c r="M17" s="6"/>
      <c r="N17" s="10" t="s">
        <v>17</v>
      </c>
      <c r="O17" s="11">
        <f>382425624/(10^6)</f>
        <v>382.425624</v>
      </c>
      <c r="P17" s="19">
        <f>375594999/(10^6)</f>
        <v>375.594999</v>
      </c>
      <c r="Q17" s="20">
        <f t="shared" si="5"/>
        <v>-6.830625</v>
      </c>
      <c r="R17" s="13">
        <f t="shared" si="6"/>
        <v>-0.01786131622</v>
      </c>
    </row>
    <row r="18" ht="14.25" customHeight="1">
      <c r="B18" s="7" t="s">
        <v>18</v>
      </c>
      <c r="C18" s="8">
        <f>439006566/(10^6)</f>
        <v>439.006566</v>
      </c>
      <c r="D18" s="8"/>
      <c r="E18" s="9"/>
      <c r="F18" s="7"/>
      <c r="G18" s="6"/>
      <c r="H18" s="7" t="s">
        <v>18</v>
      </c>
      <c r="I18" s="8">
        <f>53422673/(10^6)</f>
        <v>53.422673</v>
      </c>
      <c r="J18" s="8">
        <f>0/(10^6)</f>
        <v>0</v>
      </c>
      <c r="K18" s="7"/>
      <c r="L18" s="7"/>
      <c r="M18" s="6"/>
      <c r="N18" s="7" t="s">
        <v>18</v>
      </c>
      <c r="O18" s="8">
        <f>385583892/(10^6)</f>
        <v>385.583892</v>
      </c>
      <c r="P18" s="8">
        <f>0/(10^6)</f>
        <v>0</v>
      </c>
      <c r="Q18" s="7"/>
      <c r="R18" s="7"/>
    </row>
    <row r="19" ht="14.25" customHeight="1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ht="14.25" customHeight="1">
      <c r="B20" s="3" t="s">
        <v>19</v>
      </c>
      <c r="C20" s="4"/>
      <c r="D20" s="4"/>
      <c r="E20" s="4"/>
      <c r="F20" s="5"/>
      <c r="G20" s="6"/>
      <c r="H20" s="3" t="s">
        <v>20</v>
      </c>
      <c r="I20" s="4"/>
      <c r="J20" s="4"/>
      <c r="K20" s="4"/>
      <c r="L20" s="5"/>
      <c r="M20" s="6"/>
      <c r="N20" s="3" t="s">
        <v>21</v>
      </c>
      <c r="O20" s="4"/>
      <c r="P20" s="4"/>
      <c r="Q20" s="4"/>
      <c r="R20" s="5"/>
    </row>
    <row r="21" ht="14.25" customHeight="1">
      <c r="B21" s="7"/>
      <c r="C21" s="7"/>
      <c r="D21" s="7"/>
      <c r="E21" s="7"/>
      <c r="F21" s="7"/>
      <c r="G21" s="6"/>
      <c r="H21" s="7"/>
      <c r="I21" s="7"/>
      <c r="J21" s="7"/>
      <c r="K21" s="7"/>
      <c r="L21" s="7"/>
      <c r="M21" s="6"/>
      <c r="N21" s="7"/>
      <c r="O21" s="7"/>
      <c r="P21" s="7"/>
      <c r="Q21" s="7"/>
      <c r="R21" s="7"/>
    </row>
    <row r="22" ht="14.25" customHeight="1">
      <c r="B22" s="7"/>
      <c r="C22" s="7">
        <v>2019.0</v>
      </c>
      <c r="D22" s="7">
        <v>2020.0</v>
      </c>
      <c r="E22" s="7" t="s">
        <v>5</v>
      </c>
      <c r="F22" s="7" t="s">
        <v>6</v>
      </c>
      <c r="G22" s="6"/>
      <c r="H22" s="7"/>
      <c r="I22" s="7">
        <v>2019.0</v>
      </c>
      <c r="J22" s="7">
        <v>2020.0</v>
      </c>
      <c r="K22" s="7" t="s">
        <v>5</v>
      </c>
      <c r="L22" s="7" t="s">
        <v>6</v>
      </c>
      <c r="M22" s="6"/>
      <c r="N22" s="7"/>
      <c r="O22" s="7">
        <v>2019.0</v>
      </c>
      <c r="P22" s="7">
        <v>2020.0</v>
      </c>
      <c r="Q22" s="7" t="s">
        <v>5</v>
      </c>
      <c r="R22" s="7" t="s">
        <v>6</v>
      </c>
    </row>
    <row r="23" ht="14.25" customHeight="1">
      <c r="B23" s="7" t="s">
        <v>7</v>
      </c>
      <c r="C23" s="8">
        <f>140399915/(10^6)</f>
        <v>140.399915</v>
      </c>
      <c r="D23" s="8">
        <f>140592593/(10^6)</f>
        <v>140.592593</v>
      </c>
      <c r="E23" s="7"/>
      <c r="F23" s="7"/>
      <c r="G23" s="6"/>
      <c r="H23" s="7" t="s">
        <v>7</v>
      </c>
      <c r="I23" s="8">
        <f>18704347/(10^6)</f>
        <v>18.704347</v>
      </c>
      <c r="J23" s="8">
        <f>16272465/(10^6)</f>
        <v>16.272465</v>
      </c>
      <c r="K23" s="7"/>
      <c r="L23" s="7"/>
      <c r="M23" s="6"/>
      <c r="N23" s="7" t="s">
        <v>7</v>
      </c>
      <c r="O23" s="8">
        <f>121695569/(10^6)</f>
        <v>121.695569</v>
      </c>
      <c r="P23" s="8">
        <f>124320128/(10^6)</f>
        <v>124.320128</v>
      </c>
      <c r="Q23" s="7"/>
      <c r="R23" s="7"/>
    </row>
    <row r="24" ht="14.25" customHeight="1">
      <c r="B24" s="7" t="s">
        <v>8</v>
      </c>
      <c r="C24" s="8">
        <f>139649837/(10^6)</f>
        <v>139.649837</v>
      </c>
      <c r="D24" s="8">
        <f>140940534/(10^6)</f>
        <v>140.940534</v>
      </c>
      <c r="E24" s="7"/>
      <c r="F24" s="7"/>
      <c r="G24" s="6"/>
      <c r="H24" s="7" t="s">
        <v>8</v>
      </c>
      <c r="I24" s="8">
        <f>16750751/(10^6)</f>
        <v>16.750751</v>
      </c>
      <c r="J24" s="8">
        <f>16231462/(10^6)</f>
        <v>16.231462</v>
      </c>
      <c r="K24" s="7"/>
      <c r="L24" s="7"/>
      <c r="M24" s="6"/>
      <c r="N24" s="7" t="s">
        <v>8</v>
      </c>
      <c r="O24" s="8">
        <f>122899086/(10^6)</f>
        <v>122.899086</v>
      </c>
      <c r="P24" s="8">
        <f>124709071/(10^6)</f>
        <v>124.709071</v>
      </c>
      <c r="Q24" s="7"/>
      <c r="R24" s="7"/>
    </row>
    <row r="25" ht="14.25" customHeight="1">
      <c r="B25" s="7" t="s">
        <v>9</v>
      </c>
      <c r="C25" s="8">
        <f>137470196/(10^6)</f>
        <v>137.470196</v>
      </c>
      <c r="D25" s="8">
        <f>138535544/(10^6)</f>
        <v>138.535544</v>
      </c>
      <c r="E25" s="7"/>
      <c r="F25" s="7"/>
      <c r="G25" s="6"/>
      <c r="H25" s="7" t="s">
        <v>9</v>
      </c>
      <c r="I25" s="8">
        <f>16335477/(10^6)</f>
        <v>16.335477</v>
      </c>
      <c r="J25" s="8">
        <f>15375102/(10^6)</f>
        <v>15.375102</v>
      </c>
      <c r="K25" s="7"/>
      <c r="L25" s="7"/>
      <c r="M25" s="6"/>
      <c r="N25" s="7" t="s">
        <v>9</v>
      </c>
      <c r="O25" s="8">
        <f>121134719/(10^6)</f>
        <v>121.134719</v>
      </c>
      <c r="P25" s="8">
        <f>123160442/(10^6)</f>
        <v>123.160442</v>
      </c>
      <c r="Q25" s="7"/>
      <c r="R25" s="7"/>
    </row>
    <row r="26" ht="14.25" customHeight="1">
      <c r="B26" s="7" t="s">
        <v>10</v>
      </c>
      <c r="C26" s="8">
        <f>137229834/(10^6)</f>
        <v>137.229834</v>
      </c>
      <c r="D26" s="8">
        <f>113518463/(10^6)</f>
        <v>113.518463</v>
      </c>
      <c r="E26" s="17">
        <f t="shared" ref="E26:E33" si="7">D26-C26</f>
        <v>-23.711371</v>
      </c>
      <c r="F26" s="16">
        <f t="shared" ref="F26:F33" si="8">E26/C26</f>
        <v>-0.1727858317</v>
      </c>
      <c r="G26" s="6"/>
      <c r="H26" s="7" t="s">
        <v>10</v>
      </c>
      <c r="I26" s="8">
        <f>14624787/(10^6)</f>
        <v>14.624787</v>
      </c>
      <c r="J26" s="8">
        <f>12228642/(10^6)</f>
        <v>12.228642</v>
      </c>
      <c r="K26" s="17">
        <f t="shared" ref="K26:K33" si="9">J26-I26</f>
        <v>-2.396145</v>
      </c>
      <c r="L26" s="16">
        <f t="shared" ref="L26:L33" si="10">K26/I26</f>
        <v>-0.1638413606</v>
      </c>
      <c r="M26" s="6"/>
      <c r="N26" s="7" t="s">
        <v>10</v>
      </c>
      <c r="O26" s="8">
        <f>122605046/(10^6)</f>
        <v>122.605046</v>
      </c>
      <c r="P26" s="8">
        <f>101289821/(10^6)</f>
        <v>101.289821</v>
      </c>
      <c r="Q26" s="17">
        <f t="shared" ref="Q26:Q33" si="11">P26-O26</f>
        <v>-21.315225</v>
      </c>
      <c r="R26" s="21">
        <f t="shared" ref="R26:R33" si="12">Q26/O26</f>
        <v>-0.1738527548</v>
      </c>
    </row>
    <row r="27" ht="14.25" customHeight="1">
      <c r="B27" s="7" t="s">
        <v>11</v>
      </c>
      <c r="C27" s="8">
        <f>138800235/(10^6)</f>
        <v>138.800235</v>
      </c>
      <c r="D27" s="8">
        <f>123328644/(10^6)</f>
        <v>123.328644</v>
      </c>
      <c r="E27" s="17">
        <f t="shared" si="7"/>
        <v>-15.471591</v>
      </c>
      <c r="F27" s="16">
        <f t="shared" si="8"/>
        <v>-0.1114666052</v>
      </c>
      <c r="G27" s="6"/>
      <c r="H27" s="7" t="s">
        <v>11</v>
      </c>
      <c r="I27" s="8">
        <f>16602917/(10^6)</f>
        <v>16.602917</v>
      </c>
      <c r="J27" s="8">
        <f>13794603/(10^6)</f>
        <v>13.794603</v>
      </c>
      <c r="K27" s="17">
        <f t="shared" si="9"/>
        <v>-2.808314</v>
      </c>
      <c r="L27" s="16">
        <f t="shared" si="10"/>
        <v>-0.1691458194</v>
      </c>
      <c r="M27" s="6"/>
      <c r="N27" s="7" t="s">
        <v>11</v>
      </c>
      <c r="O27" s="8">
        <f>122197318/(10^6)</f>
        <v>122.197318</v>
      </c>
      <c r="P27" s="8">
        <f>109534041/(10^6)</f>
        <v>109.534041</v>
      </c>
      <c r="Q27" s="17">
        <f t="shared" si="11"/>
        <v>-12.663277</v>
      </c>
      <c r="R27" s="21">
        <f t="shared" si="12"/>
        <v>-0.1036297458</v>
      </c>
    </row>
    <row r="28" ht="14.25" customHeight="1">
      <c r="B28" s="7" t="s">
        <v>12</v>
      </c>
      <c r="C28" s="8">
        <f>139925226/(10^6)</f>
        <v>139.925226</v>
      </c>
      <c r="D28" s="8">
        <f>131839087/(10^6)</f>
        <v>131.839087</v>
      </c>
      <c r="E28" s="17">
        <f t="shared" si="7"/>
        <v>-8.086139</v>
      </c>
      <c r="F28" s="16">
        <f t="shared" si="8"/>
        <v>-0.05778900082</v>
      </c>
      <c r="G28" s="6"/>
      <c r="H28" s="7" t="s">
        <v>12</v>
      </c>
      <c r="I28" s="8">
        <f>16351732/(10^6)</f>
        <v>16.351732</v>
      </c>
      <c r="J28" s="8">
        <f>12625580/(10^6)</f>
        <v>12.62558</v>
      </c>
      <c r="K28" s="17">
        <f t="shared" si="9"/>
        <v>-3.726152</v>
      </c>
      <c r="L28" s="16">
        <f t="shared" si="10"/>
        <v>-0.2278750655</v>
      </c>
      <c r="M28" s="6"/>
      <c r="N28" s="7" t="s">
        <v>12</v>
      </c>
      <c r="O28" s="8">
        <f>123573495/(10^6)</f>
        <v>123.573495</v>
      </c>
      <c r="P28" s="8">
        <f>119213507/(10^6)</f>
        <v>119.213507</v>
      </c>
      <c r="Q28" s="17">
        <f t="shared" si="11"/>
        <v>-4.359988</v>
      </c>
      <c r="R28" s="21">
        <f t="shared" si="12"/>
        <v>-0.03528254987</v>
      </c>
    </row>
    <row r="29" ht="14.25" customHeight="1">
      <c r="B29" s="7" t="s">
        <v>13</v>
      </c>
      <c r="C29" s="8">
        <f>138283960/(10^6)</f>
        <v>138.28396</v>
      </c>
      <c r="D29" s="8">
        <f>132511964/(10^6)</f>
        <v>132.511964</v>
      </c>
      <c r="E29" s="17">
        <f t="shared" si="7"/>
        <v>-5.771996</v>
      </c>
      <c r="F29" s="16">
        <f t="shared" si="8"/>
        <v>-0.04174017001</v>
      </c>
      <c r="G29" s="6"/>
      <c r="H29" s="7" t="s">
        <v>13</v>
      </c>
      <c r="I29" s="8">
        <f>15837586/(10^6)</f>
        <v>15.837586</v>
      </c>
      <c r="J29" s="8">
        <f>12875840/(10^6)</f>
        <v>12.87584</v>
      </c>
      <c r="K29" s="17">
        <f t="shared" si="9"/>
        <v>-2.961746</v>
      </c>
      <c r="L29" s="16">
        <f t="shared" si="10"/>
        <v>-0.1870074139</v>
      </c>
      <c r="M29" s="6"/>
      <c r="N29" s="7" t="s">
        <v>13</v>
      </c>
      <c r="O29" s="8">
        <f>122446374/(10^6)</f>
        <v>122.446374</v>
      </c>
      <c r="P29" s="8">
        <f>119636125/(10^6)</f>
        <v>119.636125</v>
      </c>
      <c r="Q29" s="17">
        <f t="shared" si="11"/>
        <v>-2.810249</v>
      </c>
      <c r="R29" s="21">
        <f t="shared" si="12"/>
        <v>-0.0229508552</v>
      </c>
    </row>
    <row r="30" ht="14.25" customHeight="1">
      <c r="B30" s="7" t="s">
        <v>14</v>
      </c>
      <c r="C30" s="8">
        <f>140486448/(10^6)</f>
        <v>140.486448</v>
      </c>
      <c r="D30" s="8">
        <f>137289397/(10^6)</f>
        <v>137.289397</v>
      </c>
      <c r="E30" s="17">
        <f t="shared" si="7"/>
        <v>-3.197051</v>
      </c>
      <c r="F30" s="16">
        <f t="shared" si="8"/>
        <v>-0.02275700643</v>
      </c>
      <c r="G30" s="6"/>
      <c r="H30" s="7" t="s">
        <v>14</v>
      </c>
      <c r="I30" s="8">
        <f>15543533/(10^6)</f>
        <v>15.543533</v>
      </c>
      <c r="J30" s="8">
        <f>14093722/(10^6)</f>
        <v>14.093722</v>
      </c>
      <c r="K30" s="17">
        <f t="shared" si="9"/>
        <v>-1.449811</v>
      </c>
      <c r="L30" s="16">
        <f t="shared" si="10"/>
        <v>-0.09327422536</v>
      </c>
      <c r="M30" s="6"/>
      <c r="N30" s="7" t="s">
        <v>14</v>
      </c>
      <c r="O30" s="8">
        <f>124942916/(10^6)</f>
        <v>124.942916</v>
      </c>
      <c r="P30" s="8">
        <f>123195675/(10^6)</f>
        <v>123.195675</v>
      </c>
      <c r="Q30" s="17">
        <f t="shared" si="11"/>
        <v>-1.747241</v>
      </c>
      <c r="R30" s="21">
        <f t="shared" si="12"/>
        <v>-0.01398431424</v>
      </c>
    </row>
    <row r="31" ht="14.25" customHeight="1">
      <c r="B31" s="7" t="s">
        <v>15</v>
      </c>
      <c r="C31" s="8">
        <f>140263575/(10^6)</f>
        <v>140.263575</v>
      </c>
      <c r="D31" s="8">
        <f>132714970/(10^6)</f>
        <v>132.71497</v>
      </c>
      <c r="E31" s="17">
        <f t="shared" si="7"/>
        <v>-7.548605</v>
      </c>
      <c r="F31" s="16">
        <f t="shared" si="8"/>
        <v>-0.05381728649</v>
      </c>
      <c r="G31" s="6"/>
      <c r="H31" s="7" t="s">
        <v>15</v>
      </c>
      <c r="I31" s="8">
        <f>17018839/(10^6)</f>
        <v>17.018839</v>
      </c>
      <c r="J31" s="8">
        <f>12522028/(10^6)</f>
        <v>12.522028</v>
      </c>
      <c r="K31" s="17">
        <f t="shared" si="9"/>
        <v>-4.496811</v>
      </c>
      <c r="L31" s="16">
        <f t="shared" si="10"/>
        <v>-0.2642254857</v>
      </c>
      <c r="M31" s="6"/>
      <c r="N31" s="7" t="s">
        <v>15</v>
      </c>
      <c r="O31" s="8">
        <f>123244736/(10^6)</f>
        <v>123.244736</v>
      </c>
      <c r="P31" s="8">
        <f>120192942/(10^6)</f>
        <v>120.192942</v>
      </c>
      <c r="Q31" s="17">
        <f t="shared" si="11"/>
        <v>-3.051794</v>
      </c>
      <c r="R31" s="21">
        <f t="shared" si="12"/>
        <v>-0.02476206367</v>
      </c>
    </row>
    <row r="32" ht="14.25" customHeight="1">
      <c r="B32" s="7" t="s">
        <v>16</v>
      </c>
      <c r="C32" s="8">
        <f>140359785/(10^6)</f>
        <v>140.359785</v>
      </c>
      <c r="D32" s="8">
        <f>132979139/(10^6)</f>
        <v>132.979139</v>
      </c>
      <c r="E32" s="17">
        <f t="shared" si="7"/>
        <v>-7.380646</v>
      </c>
      <c r="F32" s="16">
        <f t="shared" si="8"/>
        <v>-0.05258376536</v>
      </c>
      <c r="G32" s="6"/>
      <c r="H32" s="7" t="s">
        <v>16</v>
      </c>
      <c r="I32" s="8">
        <f>16208833/(10^6)</f>
        <v>16.208833</v>
      </c>
      <c r="J32" s="8">
        <f>12097675/(10^6)</f>
        <v>12.097675</v>
      </c>
      <c r="K32" s="18">
        <f t="shared" si="9"/>
        <v>-4.111158</v>
      </c>
      <c r="L32" s="16">
        <f t="shared" si="10"/>
        <v>-0.2536368905</v>
      </c>
      <c r="M32" s="6"/>
      <c r="N32" s="7" t="s">
        <v>16</v>
      </c>
      <c r="O32" s="8">
        <f>124150952/(10^6)</f>
        <v>124.150952</v>
      </c>
      <c r="P32" s="8">
        <f>120881464/(10^6)</f>
        <v>120.881464</v>
      </c>
      <c r="Q32" s="18">
        <f t="shared" si="11"/>
        <v>-3.269488</v>
      </c>
      <c r="R32" s="16">
        <f t="shared" si="12"/>
        <v>-0.02633477994</v>
      </c>
    </row>
    <row r="33" ht="14.25" customHeight="1">
      <c r="B33" s="7" t="s">
        <v>17</v>
      </c>
      <c r="C33" s="8">
        <f>139569961/(10^6)</f>
        <v>139.569961</v>
      </c>
      <c r="D33" s="22">
        <f>131835288/(10^6)</f>
        <v>131.835288</v>
      </c>
      <c r="E33" s="17">
        <f t="shared" si="7"/>
        <v>-7.734673</v>
      </c>
      <c r="F33" s="16">
        <f t="shared" si="8"/>
        <v>-0.05541789182</v>
      </c>
      <c r="G33" s="6"/>
      <c r="H33" s="10" t="s">
        <v>17</v>
      </c>
      <c r="I33" s="11">
        <f>15910661/(10^6)</f>
        <v>15.910661</v>
      </c>
      <c r="J33" s="19">
        <f>11588633/(10^6)</f>
        <v>11.588633</v>
      </c>
      <c r="K33" s="20">
        <f t="shared" si="9"/>
        <v>-4.322028</v>
      </c>
      <c r="L33" s="13">
        <f t="shared" si="10"/>
        <v>-0.2716435225</v>
      </c>
      <c r="M33" s="6"/>
      <c r="N33" s="10" t="s">
        <v>17</v>
      </c>
      <c r="O33" s="11">
        <f>123659300/(10^6)</f>
        <v>123.6593</v>
      </c>
      <c r="P33" s="19">
        <f>120246655/(10^6)</f>
        <v>120.246655</v>
      </c>
      <c r="Q33" s="20">
        <f t="shared" si="11"/>
        <v>-3.412645</v>
      </c>
      <c r="R33" s="13">
        <f t="shared" si="12"/>
        <v>-0.02759715606</v>
      </c>
    </row>
    <row r="34" ht="14.25" customHeight="1">
      <c r="B34" s="7" t="s">
        <v>18</v>
      </c>
      <c r="C34" s="8">
        <f>140751451/(10^6)</f>
        <v>140.751451</v>
      </c>
      <c r="D34" s="8">
        <f>0/(10^6)</f>
        <v>0</v>
      </c>
      <c r="E34" s="7"/>
      <c r="F34" s="7"/>
      <c r="G34" s="6"/>
      <c r="H34" s="7" t="s">
        <v>18</v>
      </c>
      <c r="I34" s="8">
        <f>15290495/(10^6)</f>
        <v>15.290495</v>
      </c>
      <c r="J34" s="8">
        <f>0/(10^6)</f>
        <v>0</v>
      </c>
      <c r="K34" s="7"/>
      <c r="L34" s="7"/>
      <c r="M34" s="6"/>
      <c r="N34" s="7" t="s">
        <v>18</v>
      </c>
      <c r="O34" s="8">
        <f>125460956/(10^6)</f>
        <v>125.460956</v>
      </c>
      <c r="P34" s="8">
        <f>0/(10^6)</f>
        <v>0</v>
      </c>
      <c r="Q34" s="7"/>
      <c r="R34" s="7"/>
    </row>
    <row r="35" ht="14.25" customHeight="1"/>
    <row r="36" ht="14.25" customHeight="1">
      <c r="B36" s="3" t="s">
        <v>22</v>
      </c>
      <c r="C36" s="4"/>
      <c r="D36" s="4"/>
      <c r="E36" s="4"/>
      <c r="F36" s="5"/>
      <c r="G36" s="6"/>
      <c r="H36" s="3" t="s">
        <v>23</v>
      </c>
      <c r="I36" s="4"/>
      <c r="J36" s="4"/>
      <c r="K36" s="4"/>
      <c r="L36" s="5"/>
      <c r="M36" s="6"/>
      <c r="N36" s="3" t="s">
        <v>24</v>
      </c>
      <c r="O36" s="4"/>
      <c r="P36" s="4"/>
      <c r="Q36" s="4"/>
      <c r="R36" s="5"/>
    </row>
    <row r="37" ht="14.25" customHeight="1">
      <c r="B37" s="7"/>
      <c r="C37" s="7"/>
      <c r="D37" s="7"/>
      <c r="E37" s="7"/>
      <c r="F37" s="7"/>
      <c r="G37" s="6"/>
      <c r="H37" s="7"/>
      <c r="I37" s="7"/>
      <c r="J37" s="7"/>
      <c r="K37" s="7"/>
      <c r="L37" s="7"/>
      <c r="M37" s="6"/>
      <c r="N37" s="7"/>
      <c r="O37" s="7"/>
      <c r="P37" s="7"/>
      <c r="Q37" s="7"/>
      <c r="R37" s="7"/>
    </row>
    <row r="38" ht="14.25" customHeight="1">
      <c r="B38" s="7"/>
      <c r="C38" s="7">
        <v>2019.0</v>
      </c>
      <c r="D38" s="7">
        <v>2020.0</v>
      </c>
      <c r="E38" s="7" t="s">
        <v>5</v>
      </c>
      <c r="F38" s="7" t="s">
        <v>6</v>
      </c>
      <c r="G38" s="6"/>
      <c r="H38" s="7"/>
      <c r="I38" s="7">
        <v>2019.0</v>
      </c>
      <c r="J38" s="7">
        <v>2020.0</v>
      </c>
      <c r="K38" s="7" t="s">
        <v>5</v>
      </c>
      <c r="L38" s="7" t="s">
        <v>6</v>
      </c>
      <c r="M38" s="6"/>
      <c r="N38" s="7"/>
      <c r="O38" s="7">
        <v>2019.0</v>
      </c>
      <c r="P38" s="7">
        <v>2020.0</v>
      </c>
      <c r="Q38" s="7" t="s">
        <v>5</v>
      </c>
      <c r="R38" s="7" t="s">
        <v>6</v>
      </c>
    </row>
    <row r="39" ht="14.25" customHeight="1">
      <c r="B39" s="7" t="s">
        <v>7</v>
      </c>
      <c r="C39" s="8">
        <f>295624772/(10^6)</f>
        <v>295.624772</v>
      </c>
      <c r="D39" s="8">
        <f>301809674/(10^6)</f>
        <v>301.809674</v>
      </c>
      <c r="E39" s="7"/>
      <c r="F39" s="7"/>
      <c r="G39" s="6"/>
      <c r="H39" s="7" t="s">
        <v>7</v>
      </c>
      <c r="I39" s="8">
        <f>37742532/(10^6)</f>
        <v>37.742532</v>
      </c>
      <c r="J39" s="8">
        <f>38141050/(10^6)</f>
        <v>38.14105</v>
      </c>
      <c r="K39" s="7"/>
      <c r="L39" s="7"/>
      <c r="M39" s="6"/>
      <c r="N39" s="7" t="s">
        <v>7</v>
      </c>
      <c r="O39" s="8">
        <f>257882241/(10^6)</f>
        <v>257.882241</v>
      </c>
      <c r="P39" s="8">
        <f>263668625/(10^6)</f>
        <v>263.668625</v>
      </c>
      <c r="Q39" s="7"/>
      <c r="R39" s="7"/>
    </row>
    <row r="40" ht="14.25" customHeight="1">
      <c r="B40" s="7" t="s">
        <v>8</v>
      </c>
      <c r="C40" s="8">
        <f>291314298/(10^6)</f>
        <v>291.314298</v>
      </c>
      <c r="D40" s="8">
        <f>299165768/(10^6)</f>
        <v>299.165768</v>
      </c>
      <c r="E40" s="7"/>
      <c r="F40" s="7"/>
      <c r="G40" s="6"/>
      <c r="H40" s="7" t="s">
        <v>8</v>
      </c>
      <c r="I40" s="8">
        <f>34325876/(10^6)</f>
        <v>34.325876</v>
      </c>
      <c r="J40" s="8">
        <f>34992707/(10^6)</f>
        <v>34.992707</v>
      </c>
      <c r="K40" s="7"/>
      <c r="L40" s="7"/>
      <c r="M40" s="6"/>
      <c r="N40" s="7" t="s">
        <v>8</v>
      </c>
      <c r="O40" s="8">
        <f>256988422/(10^6)</f>
        <v>256.988422</v>
      </c>
      <c r="P40" s="8">
        <f>264173061/(10^6)</f>
        <v>264.173061</v>
      </c>
      <c r="Q40" s="7"/>
      <c r="R40" s="7"/>
    </row>
    <row r="41" ht="14.25" customHeight="1">
      <c r="B41" s="7" t="s">
        <v>9</v>
      </c>
      <c r="C41" s="8">
        <f>293820814/(10^6)</f>
        <v>293.820814</v>
      </c>
      <c r="D41" s="8">
        <f>295245673/(10^6)</f>
        <v>295.245673</v>
      </c>
      <c r="E41" s="7"/>
      <c r="F41" s="7"/>
      <c r="G41" s="6"/>
      <c r="H41" s="7" t="s">
        <v>9</v>
      </c>
      <c r="I41" s="8">
        <f>37024930/(10^6)</f>
        <v>37.02493</v>
      </c>
      <c r="J41" s="8">
        <f>35001776/(10^6)</f>
        <v>35.001776</v>
      </c>
      <c r="K41" s="7"/>
      <c r="L41" s="7"/>
      <c r="M41" s="6"/>
      <c r="N41" s="7" t="s">
        <v>9</v>
      </c>
      <c r="O41" s="8">
        <f>256795884/(10^6)</f>
        <v>256.795884</v>
      </c>
      <c r="P41" s="8">
        <f>260243897/(10^6)</f>
        <v>260.243897</v>
      </c>
      <c r="Q41" s="7"/>
      <c r="R41" s="7"/>
    </row>
    <row r="42" ht="14.25" customHeight="1">
      <c r="B42" s="7" t="s">
        <v>10</v>
      </c>
      <c r="C42" s="8">
        <f>293682027/(10^6)</f>
        <v>293.682027</v>
      </c>
      <c r="D42" s="8">
        <f>255478122/(10^6)</f>
        <v>255.478122</v>
      </c>
      <c r="E42" s="17">
        <f t="shared" ref="E42:E49" si="13">D42-C42</f>
        <v>-38.203905</v>
      </c>
      <c r="F42" s="16">
        <f t="shared" ref="F42:F49" si="14">E42/C42</f>
        <v>-0.1300859484</v>
      </c>
      <c r="G42" s="6"/>
      <c r="H42" s="7" t="s">
        <v>10</v>
      </c>
      <c r="I42" s="8">
        <f>35048885/(10^6)</f>
        <v>35.048885</v>
      </c>
      <c r="J42" s="8">
        <f>24750883/(10^6)</f>
        <v>24.750883</v>
      </c>
      <c r="K42" s="17">
        <f t="shared" ref="K42:K49" si="15">J42-I42</f>
        <v>-10.298002</v>
      </c>
      <c r="L42" s="21">
        <f t="shared" ref="L42:L49" si="16">K42/I42</f>
        <v>-0.2938182484</v>
      </c>
      <c r="M42" s="6"/>
      <c r="N42" s="7" t="s">
        <v>10</v>
      </c>
      <c r="O42" s="8">
        <f>258633142/(10^6)</f>
        <v>258.633142</v>
      </c>
      <c r="P42" s="8">
        <f>230727239/(10^6)</f>
        <v>230.727239</v>
      </c>
      <c r="Q42" s="23">
        <f t="shared" ref="Q42:Q49" si="17">P42-O42</f>
        <v>-27.905903</v>
      </c>
      <c r="R42" s="21">
        <f t="shared" ref="R42:R49" si="18">Q42/O42</f>
        <v>-0.1078976298</v>
      </c>
    </row>
    <row r="43" ht="14.25" customHeight="1">
      <c r="B43" s="7" t="s">
        <v>11</v>
      </c>
      <c r="C43" s="8">
        <f>295421051/(10^6)</f>
        <v>295.421051</v>
      </c>
      <c r="D43" s="8">
        <f>277592312/(10^6)</f>
        <v>277.592312</v>
      </c>
      <c r="E43" s="17">
        <f t="shared" si="13"/>
        <v>-17.828739</v>
      </c>
      <c r="F43" s="16">
        <f t="shared" si="14"/>
        <v>-0.06035026597</v>
      </c>
      <c r="G43" s="6"/>
      <c r="H43" s="7" t="s">
        <v>11</v>
      </c>
      <c r="I43" s="8">
        <f>36316740/(10^6)</f>
        <v>36.31674</v>
      </c>
      <c r="J43" s="8">
        <f>30259971/(10^6)</f>
        <v>30.259971</v>
      </c>
      <c r="K43" s="17">
        <f t="shared" si="15"/>
        <v>-6.056769</v>
      </c>
      <c r="L43" s="21">
        <f t="shared" si="16"/>
        <v>-0.1667762305</v>
      </c>
      <c r="M43" s="6"/>
      <c r="N43" s="7" t="s">
        <v>11</v>
      </c>
      <c r="O43" s="8">
        <f>259104311/(10^6)</f>
        <v>259.104311</v>
      </c>
      <c r="P43" s="8">
        <f>247332341/(10^6)</f>
        <v>247.332341</v>
      </c>
      <c r="Q43" s="23">
        <f t="shared" si="17"/>
        <v>-11.77197</v>
      </c>
      <c r="R43" s="21">
        <f t="shared" si="18"/>
        <v>-0.04543332357</v>
      </c>
    </row>
    <row r="44" ht="14.25" customHeight="1">
      <c r="B44" s="7" t="s">
        <v>12</v>
      </c>
      <c r="C44" s="8">
        <f>294609755/(10^6)</f>
        <v>294.609755</v>
      </c>
      <c r="D44" s="8">
        <f>287864429/(10^6)</f>
        <v>287.864429</v>
      </c>
      <c r="E44" s="17">
        <f t="shared" si="13"/>
        <v>-6.745326</v>
      </c>
      <c r="F44" s="16">
        <f t="shared" si="14"/>
        <v>-0.0228957999</v>
      </c>
      <c r="G44" s="6"/>
      <c r="H44" s="7" t="s">
        <v>12</v>
      </c>
      <c r="I44" s="8">
        <f>33306326/(10^6)</f>
        <v>33.306326</v>
      </c>
      <c r="J44" s="8">
        <f>33939870/(10^6)</f>
        <v>33.93987</v>
      </c>
      <c r="K44" s="17">
        <f t="shared" si="15"/>
        <v>0.633544</v>
      </c>
      <c r="L44" s="21">
        <f t="shared" si="16"/>
        <v>0.01902173179</v>
      </c>
      <c r="M44" s="6"/>
      <c r="N44" s="7" t="s">
        <v>12</v>
      </c>
      <c r="O44" s="8">
        <f>261303428/(10^6)</f>
        <v>261.303428</v>
      </c>
      <c r="P44" s="8">
        <f>253924559/(10^6)</f>
        <v>253.924559</v>
      </c>
      <c r="Q44" s="23">
        <f t="shared" si="17"/>
        <v>-7.378869</v>
      </c>
      <c r="R44" s="21">
        <f t="shared" si="18"/>
        <v>-0.02823869957</v>
      </c>
    </row>
    <row r="45" ht="14.25" customHeight="1">
      <c r="B45" s="7" t="s">
        <v>13</v>
      </c>
      <c r="C45" s="8">
        <f>296722430/(10^6)</f>
        <v>296.72243</v>
      </c>
      <c r="D45" s="8">
        <f>291204358/(10^6)</f>
        <v>291.204358</v>
      </c>
      <c r="E45" s="17">
        <f t="shared" si="13"/>
        <v>-5.518072</v>
      </c>
      <c r="F45" s="16">
        <f t="shared" si="14"/>
        <v>-0.01859674714</v>
      </c>
      <c r="G45" s="6"/>
      <c r="H45" s="7" t="s">
        <v>13</v>
      </c>
      <c r="I45" s="8">
        <f>37260976/(10^6)</f>
        <v>37.260976</v>
      </c>
      <c r="J45" s="8">
        <f>36209544/(10^6)</f>
        <v>36.209544</v>
      </c>
      <c r="K45" s="17">
        <f t="shared" si="15"/>
        <v>-1.051432</v>
      </c>
      <c r="L45" s="21">
        <f t="shared" si="16"/>
        <v>-0.02821804775</v>
      </c>
      <c r="M45" s="6"/>
      <c r="N45" s="7" t="s">
        <v>13</v>
      </c>
      <c r="O45" s="8">
        <f>259461454/(10^6)</f>
        <v>259.461454</v>
      </c>
      <c r="P45" s="8">
        <f>254994814/(10^6)</f>
        <v>254.994814</v>
      </c>
      <c r="Q45" s="23">
        <f t="shared" si="17"/>
        <v>-4.46664</v>
      </c>
      <c r="R45" s="21">
        <f t="shared" si="18"/>
        <v>-0.01721504266</v>
      </c>
    </row>
    <row r="46" ht="14.25" customHeight="1">
      <c r="B46" s="7" t="s">
        <v>14</v>
      </c>
      <c r="C46" s="8">
        <f>298740084/(10^6)</f>
        <v>298.740084</v>
      </c>
      <c r="D46" s="8">
        <f>290980363/(10^6)</f>
        <v>290.980363</v>
      </c>
      <c r="E46" s="17">
        <f t="shared" si="13"/>
        <v>-7.759721</v>
      </c>
      <c r="F46" s="16">
        <f t="shared" si="14"/>
        <v>-0.02597482365</v>
      </c>
      <c r="G46" s="6"/>
      <c r="H46" s="7" t="s">
        <v>14</v>
      </c>
      <c r="I46" s="8">
        <f>37811965/(10^6)</f>
        <v>37.811965</v>
      </c>
      <c r="J46" s="8">
        <f>33166054/(10^6)</f>
        <v>33.166054</v>
      </c>
      <c r="K46" s="17">
        <f t="shared" si="15"/>
        <v>-4.645911</v>
      </c>
      <c r="L46" s="21">
        <f t="shared" si="16"/>
        <v>-0.1228688062</v>
      </c>
      <c r="M46" s="6"/>
      <c r="N46" s="7" t="s">
        <v>14</v>
      </c>
      <c r="O46" s="8">
        <f>260928119/(10^6)</f>
        <v>260.928119</v>
      </c>
      <c r="P46" s="8">
        <f>257814309/(10^6)</f>
        <v>257.814309</v>
      </c>
      <c r="Q46" s="23">
        <f t="shared" si="17"/>
        <v>-3.11381</v>
      </c>
      <c r="R46" s="21">
        <f t="shared" si="18"/>
        <v>-0.0119335931</v>
      </c>
    </row>
    <row r="47" ht="14.25" customHeight="1">
      <c r="B47" s="7" t="s">
        <v>15</v>
      </c>
      <c r="C47" s="8">
        <f>297725678/(10^6)</f>
        <v>297.725678</v>
      </c>
      <c r="D47" s="8">
        <f>293304030/(10^6)</f>
        <v>293.30403</v>
      </c>
      <c r="E47" s="17">
        <f t="shared" si="13"/>
        <v>-4.421648</v>
      </c>
      <c r="F47" s="16">
        <f t="shared" si="14"/>
        <v>-0.01485141634</v>
      </c>
      <c r="G47" s="6"/>
      <c r="H47" s="7" t="s">
        <v>15</v>
      </c>
      <c r="I47" s="8">
        <f>36366954/(10^6)</f>
        <v>36.366954</v>
      </c>
      <c r="J47" s="8">
        <f>35182400/(10^6)</f>
        <v>35.1824</v>
      </c>
      <c r="K47" s="17">
        <f t="shared" si="15"/>
        <v>-1.184554</v>
      </c>
      <c r="L47" s="21">
        <f t="shared" si="16"/>
        <v>-0.03257226327</v>
      </c>
      <c r="M47" s="6"/>
      <c r="N47" s="7" t="s">
        <v>15</v>
      </c>
      <c r="O47" s="8">
        <f>261358724/(10^6)</f>
        <v>261.358724</v>
      </c>
      <c r="P47" s="8">
        <f>258121630/(10^6)</f>
        <v>258.12163</v>
      </c>
      <c r="Q47" s="23">
        <f t="shared" si="17"/>
        <v>-3.237094</v>
      </c>
      <c r="R47" s="21">
        <f t="shared" si="18"/>
        <v>-0.01238563592</v>
      </c>
    </row>
    <row r="48" ht="14.25" customHeight="1">
      <c r="B48" s="7" t="s">
        <v>16</v>
      </c>
      <c r="C48" s="8">
        <f>299375215/(10^6)</f>
        <v>299.375215</v>
      </c>
      <c r="D48" s="8">
        <f>293876654/(10^6)</f>
        <v>293.876654</v>
      </c>
      <c r="E48" s="17">
        <f t="shared" si="13"/>
        <v>-5.498561</v>
      </c>
      <c r="F48" s="16">
        <f t="shared" si="14"/>
        <v>-0.01836678764</v>
      </c>
      <c r="G48" s="6"/>
      <c r="H48" s="7" t="s">
        <v>16</v>
      </c>
      <c r="I48" s="8">
        <f>35726621/(10^6)</f>
        <v>35.726621</v>
      </c>
      <c r="J48" s="8">
        <f>34358940/(10^6)</f>
        <v>34.35894</v>
      </c>
      <c r="K48" s="18">
        <f t="shared" si="15"/>
        <v>-1.367681</v>
      </c>
      <c r="L48" s="16">
        <f t="shared" si="16"/>
        <v>-0.03828184591</v>
      </c>
      <c r="M48" s="6"/>
      <c r="N48" s="7" t="s">
        <v>16</v>
      </c>
      <c r="O48" s="8">
        <f>263648595/(10^6)</f>
        <v>263.648595</v>
      </c>
      <c r="P48" s="8">
        <f>259517714/(10^6)</f>
        <v>259.517714</v>
      </c>
      <c r="Q48" s="24">
        <f t="shared" si="17"/>
        <v>-4.130881</v>
      </c>
      <c r="R48" s="16">
        <f t="shared" si="18"/>
        <v>-0.01566813205</v>
      </c>
    </row>
    <row r="49" ht="14.25" customHeight="1">
      <c r="B49" s="7" t="s">
        <v>17</v>
      </c>
      <c r="C49" s="8">
        <f>294899446/(10^6)</f>
        <v>294.899446</v>
      </c>
      <c r="D49" s="22">
        <f>289144889/(10^6)</f>
        <v>289.144889</v>
      </c>
      <c r="E49" s="17">
        <f t="shared" si="13"/>
        <v>-5.754557</v>
      </c>
      <c r="F49" s="16">
        <f t="shared" si="14"/>
        <v>-0.01951362432</v>
      </c>
      <c r="G49" s="6"/>
      <c r="H49" s="10" t="s">
        <v>17</v>
      </c>
      <c r="I49" s="11">
        <f>36133123/(10^6)</f>
        <v>36.133123</v>
      </c>
      <c r="J49" s="19">
        <f>33796545/(10^6)</f>
        <v>33.796545</v>
      </c>
      <c r="K49" s="20">
        <f t="shared" si="15"/>
        <v>-2.336578</v>
      </c>
      <c r="L49" s="13">
        <f t="shared" si="16"/>
        <v>-0.06466581923</v>
      </c>
      <c r="M49" s="6"/>
      <c r="N49" s="10" t="s">
        <v>17</v>
      </c>
      <c r="O49" s="11">
        <f>258766324/(10^6)</f>
        <v>258.766324</v>
      </c>
      <c r="P49" s="19">
        <f>255348344/(10^6)</f>
        <v>255.348344</v>
      </c>
      <c r="Q49" s="25">
        <f t="shared" si="17"/>
        <v>-3.41798</v>
      </c>
      <c r="R49" s="13">
        <f t="shared" si="18"/>
        <v>-0.01320875123</v>
      </c>
    </row>
    <row r="50" ht="14.25" customHeight="1">
      <c r="B50" s="7" t="s">
        <v>18</v>
      </c>
      <c r="C50" s="8">
        <f>298255115/(10^6)</f>
        <v>298.255115</v>
      </c>
      <c r="D50" s="8">
        <f>0/(10^6)</f>
        <v>0</v>
      </c>
      <c r="E50" s="7"/>
      <c r="F50" s="7"/>
      <c r="G50" s="6"/>
      <c r="H50" s="7" t="s">
        <v>18</v>
      </c>
      <c r="I50" s="8">
        <f>38132179/(10^6)</f>
        <v>38.132179</v>
      </c>
      <c r="J50" s="8"/>
      <c r="K50" s="7"/>
      <c r="L50" s="7"/>
      <c r="M50" s="6"/>
      <c r="N50" s="7" t="s">
        <v>18</v>
      </c>
      <c r="O50" s="8">
        <f>260122936/(10^6)</f>
        <v>260.122936</v>
      </c>
      <c r="P50" s="8"/>
      <c r="Q50" s="7"/>
      <c r="R50" s="7"/>
    </row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H36:L36"/>
    <mergeCell ref="N36:R36"/>
    <mergeCell ref="B4:F4"/>
    <mergeCell ref="H4:L4"/>
    <mergeCell ref="N4:R4"/>
    <mergeCell ref="B20:F20"/>
    <mergeCell ref="H20:L20"/>
    <mergeCell ref="N20:R20"/>
    <mergeCell ref="B36:F36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7.63"/>
    <col customWidth="1" min="3" max="4" width="9.75"/>
    <col customWidth="1" min="5" max="5" width="8.88"/>
    <col customWidth="1" min="6" max="6" width="12.25"/>
    <col customWidth="1" min="7" max="8" width="7.63"/>
    <col customWidth="1" min="9" max="10" width="8.88"/>
    <col customWidth="1" min="11" max="11" width="7.63"/>
    <col customWidth="1" min="12" max="12" width="12.25"/>
    <col customWidth="1" min="13" max="14" width="7.63"/>
    <col customWidth="1" min="15" max="16" width="9.75"/>
    <col customWidth="1" min="17" max="17" width="7.63"/>
    <col customWidth="1" min="18" max="18" width="12.25"/>
    <col customWidth="1" min="19" max="26" width="7.63"/>
  </cols>
  <sheetData>
    <row r="1" ht="14.25" customHeight="1">
      <c r="A1" s="1" t="s">
        <v>25</v>
      </c>
    </row>
    <row r="2" ht="14.25" customHeight="1">
      <c r="A2" s="2" t="s">
        <v>1</v>
      </c>
    </row>
    <row r="3" ht="14.25" customHeight="1"/>
    <row r="4" ht="14.25" customHeight="1">
      <c r="B4" s="3" t="s">
        <v>26</v>
      </c>
      <c r="C4" s="4"/>
      <c r="D4" s="4"/>
      <c r="E4" s="4"/>
      <c r="F4" s="5"/>
      <c r="G4" s="6"/>
      <c r="H4" s="3" t="s">
        <v>27</v>
      </c>
      <c r="I4" s="4"/>
      <c r="J4" s="4"/>
      <c r="K4" s="4"/>
      <c r="L4" s="5"/>
      <c r="M4" s="6"/>
      <c r="N4" s="3" t="s">
        <v>28</v>
      </c>
      <c r="O4" s="4"/>
      <c r="P4" s="4"/>
      <c r="Q4" s="4"/>
      <c r="R4" s="5"/>
    </row>
    <row r="5" ht="14.25" customHeight="1">
      <c r="B5" s="7"/>
      <c r="C5" s="7"/>
      <c r="D5" s="7"/>
      <c r="E5" s="7"/>
      <c r="F5" s="7"/>
      <c r="G5" s="6"/>
      <c r="H5" s="7"/>
      <c r="I5" s="7"/>
      <c r="J5" s="7"/>
      <c r="K5" s="7"/>
      <c r="L5" s="7"/>
      <c r="M5" s="6"/>
      <c r="N5" s="7"/>
      <c r="O5" s="7"/>
      <c r="P5" s="7"/>
      <c r="Q5" s="7"/>
      <c r="R5" s="7"/>
    </row>
    <row r="6" ht="14.25" customHeight="1">
      <c r="B6" s="7"/>
      <c r="C6" s="7">
        <v>2019.0</v>
      </c>
      <c r="D6" s="7">
        <v>2020.0</v>
      </c>
      <c r="E6" s="7" t="s">
        <v>5</v>
      </c>
      <c r="F6" s="7" t="s">
        <v>6</v>
      </c>
      <c r="G6" s="6"/>
      <c r="H6" s="7"/>
      <c r="I6" s="7">
        <v>2019.0</v>
      </c>
      <c r="J6" s="7">
        <v>2020.0</v>
      </c>
      <c r="K6" s="7" t="s">
        <v>5</v>
      </c>
      <c r="L6" s="7" t="s">
        <v>6</v>
      </c>
      <c r="M6" s="6"/>
      <c r="N6" s="7"/>
      <c r="O6" s="7">
        <v>2019.0</v>
      </c>
      <c r="P6" s="7">
        <v>2020.0</v>
      </c>
      <c r="Q6" s="7" t="s">
        <v>5</v>
      </c>
      <c r="R6" s="7" t="s">
        <v>6</v>
      </c>
    </row>
    <row r="7" ht="14.25" customHeight="1">
      <c r="B7" s="7" t="s">
        <v>7</v>
      </c>
      <c r="C7" s="8">
        <f>406093726/(10^6)</f>
        <v>406.093726</v>
      </c>
      <c r="D7" s="8">
        <f>410473913/(10^6)</f>
        <v>410.473913</v>
      </c>
      <c r="E7" s="26"/>
      <c r="F7" s="7"/>
      <c r="G7" s="6"/>
      <c r="H7" s="7" t="s">
        <v>7</v>
      </c>
      <c r="I7" s="8">
        <f>46802942/(10^6)</f>
        <v>46.802942</v>
      </c>
      <c r="J7" s="8">
        <f>45883506/(10^6)</f>
        <v>45.883506</v>
      </c>
      <c r="K7" s="7"/>
      <c r="L7" s="7"/>
      <c r="M7" s="6"/>
      <c r="N7" s="7" t="s">
        <v>7</v>
      </c>
      <c r="O7" s="8">
        <f>359290784/(10^6)</f>
        <v>359.290784</v>
      </c>
      <c r="P7" s="8">
        <f>364590407/(10^6)</f>
        <v>364.590407</v>
      </c>
      <c r="Q7" s="7"/>
      <c r="R7" s="7"/>
    </row>
    <row r="8" ht="14.25" customHeight="1">
      <c r="B8" s="7" t="s">
        <v>8</v>
      </c>
      <c r="C8" s="8">
        <f>399913970/(10^6)</f>
        <v>399.91397</v>
      </c>
      <c r="D8" s="8">
        <f>405954169/(10^6)</f>
        <v>405.954169</v>
      </c>
      <c r="E8" s="26"/>
      <c r="F8" s="7"/>
      <c r="G8" s="6"/>
      <c r="H8" s="7" t="s">
        <v>8</v>
      </c>
      <c r="I8" s="8">
        <f>42370799/(10^6)</f>
        <v>42.370799</v>
      </c>
      <c r="J8" s="8">
        <f>41800187/(10^6)</f>
        <v>41.800187</v>
      </c>
      <c r="K8" s="7"/>
      <c r="L8" s="7"/>
      <c r="M8" s="6"/>
      <c r="N8" s="7" t="s">
        <v>8</v>
      </c>
      <c r="O8" s="8">
        <f>357543171/(10^6)</f>
        <v>357.543171</v>
      </c>
      <c r="P8" s="8">
        <f>364153981/(10^6)</f>
        <v>364.153981</v>
      </c>
      <c r="Q8" s="7"/>
      <c r="R8" s="7"/>
    </row>
    <row r="9" ht="14.25" customHeight="1">
      <c r="B9" s="7" t="s">
        <v>9</v>
      </c>
      <c r="C9" s="8">
        <f>402600865/(10^6)</f>
        <v>402.600865</v>
      </c>
      <c r="D9" s="8">
        <f>395840756/(10^6)</f>
        <v>395.840756</v>
      </c>
      <c r="E9" s="26"/>
      <c r="F9" s="7"/>
      <c r="G9" s="6"/>
      <c r="H9" s="7" t="s">
        <v>9</v>
      </c>
      <c r="I9" s="8">
        <f>45825525/(10^6)</f>
        <v>45.825525</v>
      </c>
      <c r="J9" s="11">
        <f>41607921/(10^6)</f>
        <v>41.607921</v>
      </c>
      <c r="K9" s="7"/>
      <c r="L9" s="7"/>
      <c r="M9" s="6"/>
      <c r="N9" s="7" t="s">
        <v>9</v>
      </c>
      <c r="O9" s="8">
        <f>356775340/(10^6)</f>
        <v>356.77534</v>
      </c>
      <c r="P9" s="11">
        <f>354232835/(10^6)</f>
        <v>354.232835</v>
      </c>
      <c r="Q9" s="7"/>
      <c r="R9" s="7"/>
    </row>
    <row r="10" ht="14.25" customHeight="1">
      <c r="B10" s="10" t="s">
        <v>10</v>
      </c>
      <c r="C10" s="11">
        <f>399248195/(10^6)</f>
        <v>399.248195</v>
      </c>
      <c r="D10" s="11">
        <f>282203816/(10^6)</f>
        <v>282.203816</v>
      </c>
      <c r="E10" s="27">
        <f t="shared" ref="E10:E17" si="1">D10-C10</f>
        <v>-117.044379</v>
      </c>
      <c r="F10" s="13">
        <f t="shared" ref="F10:F17" si="2">E10/C10</f>
        <v>-0.293161949</v>
      </c>
      <c r="G10" s="6"/>
      <c r="H10" s="10" t="s">
        <v>10</v>
      </c>
      <c r="I10" s="11">
        <f>41241539/(10^6)</f>
        <v>41.241539</v>
      </c>
      <c r="J10" s="11">
        <f>26174719/(10^6)</f>
        <v>26.174719</v>
      </c>
      <c r="K10" s="20">
        <f t="shared" ref="K10:K17" si="3">J10-I10</f>
        <v>-15.06682</v>
      </c>
      <c r="L10" s="13">
        <f t="shared" ref="L10:L17" si="4">K10/I10</f>
        <v>-0.3653311774</v>
      </c>
      <c r="M10" s="6"/>
      <c r="N10" s="10" t="s">
        <v>10</v>
      </c>
      <c r="O10" s="11">
        <f>358006657/(10^6)</f>
        <v>358.006657</v>
      </c>
      <c r="P10" s="11">
        <f>256029098/(10^6)</f>
        <v>256.029098</v>
      </c>
      <c r="Q10" s="14">
        <f t="shared" ref="Q10:Q17" si="5">P10-O10</f>
        <v>-101.977559</v>
      </c>
      <c r="R10" s="13">
        <f t="shared" ref="R10:R17" si="6">Q10/O10</f>
        <v>-0.28484822</v>
      </c>
    </row>
    <row r="11" ht="14.25" customHeight="1">
      <c r="B11" s="7" t="s">
        <v>11</v>
      </c>
      <c r="C11" s="8">
        <f>403703192/(10^6)</f>
        <v>403.703192</v>
      </c>
      <c r="D11" s="8">
        <f>313793837/(10^6)</f>
        <v>313.793837</v>
      </c>
      <c r="E11" s="28">
        <f t="shared" si="1"/>
        <v>-89.909355</v>
      </c>
      <c r="F11" s="16">
        <f t="shared" si="2"/>
        <v>-0.2227115286</v>
      </c>
      <c r="G11" s="6"/>
      <c r="H11" s="7" t="s">
        <v>11</v>
      </c>
      <c r="I11" s="8">
        <f>43712578/(10^6)</f>
        <v>43.712578</v>
      </c>
      <c r="J11" s="8">
        <f>32882024/(10^6)</f>
        <v>32.882024</v>
      </c>
      <c r="K11" s="17">
        <f t="shared" si="3"/>
        <v>-10.830554</v>
      </c>
      <c r="L11" s="16">
        <f t="shared" si="4"/>
        <v>-0.2477674504</v>
      </c>
      <c r="M11" s="6"/>
      <c r="N11" s="7" t="s">
        <v>11</v>
      </c>
      <c r="O11" s="8">
        <f>359990615/(10^6)</f>
        <v>359.990615</v>
      </c>
      <c r="P11" s="8">
        <f>280911813/(10^6)</f>
        <v>280.911813</v>
      </c>
      <c r="Q11" s="17">
        <f t="shared" si="5"/>
        <v>-79.078802</v>
      </c>
      <c r="R11" s="16">
        <f t="shared" si="6"/>
        <v>-0.2196690655</v>
      </c>
    </row>
    <row r="12" ht="14.25" customHeight="1">
      <c r="B12" s="7" t="s">
        <v>12</v>
      </c>
      <c r="C12" s="8">
        <f>400337390/(10^6)</f>
        <v>400.33739</v>
      </c>
      <c r="D12" s="8">
        <f>376993536/(10^6)</f>
        <v>376.993536</v>
      </c>
      <c r="E12" s="28">
        <f t="shared" si="1"/>
        <v>-23.343854</v>
      </c>
      <c r="F12" s="16">
        <f t="shared" si="2"/>
        <v>-0.05831045159</v>
      </c>
      <c r="G12" s="6"/>
      <c r="H12" s="7" t="s">
        <v>12</v>
      </c>
      <c r="I12" s="8">
        <f>40233718/(10^6)</f>
        <v>40.233718</v>
      </c>
      <c r="J12" s="8">
        <f>39404533/(10^6)</f>
        <v>39.404533</v>
      </c>
      <c r="K12" s="17">
        <f t="shared" si="3"/>
        <v>-0.829185</v>
      </c>
      <c r="L12" s="16">
        <f t="shared" si="4"/>
        <v>-0.02060920644</v>
      </c>
      <c r="M12" s="6"/>
      <c r="N12" s="7" t="s">
        <v>12</v>
      </c>
      <c r="O12" s="8">
        <f>360103672/(10^6)</f>
        <v>360.103672</v>
      </c>
      <c r="P12" s="8">
        <f>337589003/(10^6)</f>
        <v>337.589003</v>
      </c>
      <c r="Q12" s="17">
        <f t="shared" si="5"/>
        <v>-22.514669</v>
      </c>
      <c r="R12" s="16">
        <f t="shared" si="6"/>
        <v>-0.06252274206</v>
      </c>
    </row>
    <row r="13" ht="14.25" customHeight="1">
      <c r="B13" s="7" t="s">
        <v>13</v>
      </c>
      <c r="C13" s="8">
        <f>403064278/(10^6)</f>
        <v>403.064278</v>
      </c>
      <c r="D13" s="8">
        <f>392341064/(10^6)</f>
        <v>392.341064</v>
      </c>
      <c r="E13" s="28">
        <f t="shared" si="1"/>
        <v>-10.723214</v>
      </c>
      <c r="F13" s="16">
        <f t="shared" si="2"/>
        <v>-0.02660422812</v>
      </c>
      <c r="G13" s="6"/>
      <c r="H13" s="7" t="s">
        <v>13</v>
      </c>
      <c r="I13" s="8">
        <f>44261893/(10^6)</f>
        <v>44.261893</v>
      </c>
      <c r="J13" s="8">
        <f>42744836/(10^6)</f>
        <v>42.744836</v>
      </c>
      <c r="K13" s="17">
        <f t="shared" si="3"/>
        <v>-1.517057</v>
      </c>
      <c r="L13" s="16">
        <f t="shared" si="4"/>
        <v>-0.03427456209</v>
      </c>
      <c r="M13" s="6"/>
      <c r="N13" s="7" t="s">
        <v>13</v>
      </c>
      <c r="O13" s="8">
        <f>358802385/(10^6)</f>
        <v>358.802385</v>
      </c>
      <c r="P13" s="8">
        <f>349596228/(10^6)</f>
        <v>349.596228</v>
      </c>
      <c r="Q13" s="17">
        <f t="shared" si="5"/>
        <v>-9.206157</v>
      </c>
      <c r="R13" s="16">
        <f t="shared" si="6"/>
        <v>-0.02565801507</v>
      </c>
    </row>
    <row r="14" ht="14.25" customHeight="1">
      <c r="B14" s="7" t="s">
        <v>14</v>
      </c>
      <c r="C14" s="8">
        <f>403245519/(10^6)</f>
        <v>403.245519</v>
      </c>
      <c r="D14" s="8">
        <f>392520303/(10^6)</f>
        <v>392.520303</v>
      </c>
      <c r="E14" s="28">
        <f t="shared" si="1"/>
        <v>-10.725216</v>
      </c>
      <c r="F14" s="16">
        <f t="shared" si="2"/>
        <v>-0.02659723542</v>
      </c>
      <c r="G14" s="6"/>
      <c r="H14" s="7" t="s">
        <v>14</v>
      </c>
      <c r="I14" s="8">
        <f>43414353/(10^6)</f>
        <v>43.414353</v>
      </c>
      <c r="J14" s="8">
        <f>39296411/(10^6)</f>
        <v>39.296411</v>
      </c>
      <c r="K14" s="17">
        <f t="shared" si="3"/>
        <v>-4.117942</v>
      </c>
      <c r="L14" s="16">
        <f t="shared" si="4"/>
        <v>-0.09485208728</v>
      </c>
      <c r="M14" s="6"/>
      <c r="N14" s="7" t="s">
        <v>14</v>
      </c>
      <c r="O14" s="8">
        <f>359831166/(10^6)</f>
        <v>359.831166</v>
      </c>
      <c r="P14" s="8">
        <f>353223892/(10^6)</f>
        <v>353.223892</v>
      </c>
      <c r="Q14" s="17">
        <f t="shared" si="5"/>
        <v>-6.607274</v>
      </c>
      <c r="R14" s="16">
        <f t="shared" si="6"/>
        <v>-0.01836215043</v>
      </c>
    </row>
    <row r="15" ht="14.25" customHeight="1">
      <c r="B15" s="7" t="s">
        <v>15</v>
      </c>
      <c r="C15" s="8">
        <f>406718757/(10^6)</f>
        <v>406.718757</v>
      </c>
      <c r="D15" s="8">
        <f>397624827/(10^6)</f>
        <v>397.624827</v>
      </c>
      <c r="E15" s="28">
        <f t="shared" si="1"/>
        <v>-9.09393</v>
      </c>
      <c r="F15" s="16">
        <f t="shared" si="2"/>
        <v>-0.02235925893</v>
      </c>
      <c r="G15" s="6"/>
      <c r="H15" s="7" t="s">
        <v>15</v>
      </c>
      <c r="I15" s="8">
        <f>44891392/(10^6)</f>
        <v>44.891392</v>
      </c>
      <c r="J15" s="8">
        <f>42644670/(10^6)</f>
        <v>42.64467</v>
      </c>
      <c r="K15" s="17">
        <f t="shared" si="3"/>
        <v>-2.246722</v>
      </c>
      <c r="L15" s="16">
        <f t="shared" si="4"/>
        <v>-0.05004794683</v>
      </c>
      <c r="M15" s="6"/>
      <c r="N15" s="7" t="s">
        <v>15</v>
      </c>
      <c r="O15" s="8">
        <f>361827365/(10^6)</f>
        <v>361.827365</v>
      </c>
      <c r="P15" s="8">
        <f>354980157/(10^6)</f>
        <v>354.980157</v>
      </c>
      <c r="Q15" s="17">
        <f t="shared" si="5"/>
        <v>-6.847208</v>
      </c>
      <c r="R15" s="16">
        <f t="shared" si="6"/>
        <v>-0.01892396392</v>
      </c>
    </row>
    <row r="16" ht="14.25" customHeight="1">
      <c r="B16" s="7" t="s">
        <v>16</v>
      </c>
      <c r="C16" s="8">
        <f>404124236/(10^6)</f>
        <v>404.124236</v>
      </c>
      <c r="D16" s="8">
        <f>397067760/(10^6)</f>
        <v>397.06776</v>
      </c>
      <c r="E16" s="15">
        <f t="shared" si="1"/>
        <v>-7.056476</v>
      </c>
      <c r="F16" s="16">
        <f t="shared" si="2"/>
        <v>-0.01746115519</v>
      </c>
      <c r="G16" s="6"/>
      <c r="H16" s="7" t="s">
        <v>16</v>
      </c>
      <c r="I16" s="8">
        <f>41248331/(10^6)</f>
        <v>41.248331</v>
      </c>
      <c r="J16" s="8">
        <f>39679247/(10^6)</f>
        <v>39.679247</v>
      </c>
      <c r="K16" s="18">
        <f t="shared" si="3"/>
        <v>-1.569084</v>
      </c>
      <c r="L16" s="16">
        <f t="shared" si="4"/>
        <v>-0.03803993912</v>
      </c>
      <c r="M16" s="6"/>
      <c r="N16" s="7" t="s">
        <v>16</v>
      </c>
      <c r="O16" s="8">
        <f>362875905/(10^6)</f>
        <v>362.875905</v>
      </c>
      <c r="P16" s="8">
        <f>357388514/(10^6)</f>
        <v>357.388514</v>
      </c>
      <c r="Q16" s="18">
        <f t="shared" si="5"/>
        <v>-5.487391</v>
      </c>
      <c r="R16" s="16">
        <f t="shared" si="6"/>
        <v>-0.0151219492</v>
      </c>
    </row>
    <row r="17" ht="14.25" customHeight="1">
      <c r="B17" s="10" t="s">
        <v>17</v>
      </c>
      <c r="C17" s="11">
        <f>403049912/(10^6)</f>
        <v>403.049912</v>
      </c>
      <c r="D17" s="19">
        <f>393554011/(10^6)</f>
        <v>393.554011</v>
      </c>
      <c r="E17" s="12">
        <f t="shared" si="1"/>
        <v>-9.495901</v>
      </c>
      <c r="F17" s="13">
        <f t="shared" si="2"/>
        <v>-0.02356011183</v>
      </c>
      <c r="G17" s="6"/>
      <c r="H17" s="10" t="s">
        <v>17</v>
      </c>
      <c r="I17" s="11">
        <f>43854404/(10^6)</f>
        <v>43.854404</v>
      </c>
      <c r="J17" s="19">
        <f>38130327/(10^6)</f>
        <v>38.130327</v>
      </c>
      <c r="K17" s="20">
        <f t="shared" si="3"/>
        <v>-5.724077</v>
      </c>
      <c r="L17" s="13">
        <f t="shared" si="4"/>
        <v>-0.1305245649</v>
      </c>
      <c r="M17" s="6"/>
      <c r="N17" s="10" t="s">
        <v>17</v>
      </c>
      <c r="O17" s="11">
        <f>359195508/(10^6)</f>
        <v>359.195508</v>
      </c>
      <c r="P17" s="19">
        <f>355423684/(10^6)</f>
        <v>355.423684</v>
      </c>
      <c r="Q17" s="20">
        <f t="shared" si="5"/>
        <v>-3.771824</v>
      </c>
      <c r="R17" s="13">
        <f t="shared" si="6"/>
        <v>-0.01050075493</v>
      </c>
    </row>
    <row r="18" ht="14.25" customHeight="1">
      <c r="B18" s="7" t="s">
        <v>18</v>
      </c>
      <c r="C18" s="8">
        <f>405647546/(10^6)</f>
        <v>405.647546</v>
      </c>
      <c r="D18" s="8"/>
      <c r="E18" s="26"/>
      <c r="F18" s="7"/>
      <c r="G18" s="6"/>
      <c r="H18" s="7" t="s">
        <v>18</v>
      </c>
      <c r="I18" s="8">
        <f>44159532/(10^6)</f>
        <v>44.159532</v>
      </c>
      <c r="J18" s="8"/>
      <c r="K18" s="7"/>
      <c r="L18" s="7"/>
      <c r="M18" s="6"/>
      <c r="N18" s="7" t="s">
        <v>18</v>
      </c>
      <c r="O18" s="8">
        <f>361488014/(10^6)</f>
        <v>361.488014</v>
      </c>
      <c r="P18" s="8"/>
      <c r="Q18" s="7"/>
      <c r="R18" s="7"/>
    </row>
    <row r="19" ht="14.25" customHeight="1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ht="14.25" customHeight="1">
      <c r="B20" s="3" t="s">
        <v>29</v>
      </c>
      <c r="C20" s="4"/>
      <c r="D20" s="4"/>
      <c r="E20" s="4"/>
      <c r="F20" s="5"/>
      <c r="G20" s="6"/>
      <c r="H20" s="3" t="s">
        <v>30</v>
      </c>
      <c r="I20" s="4"/>
      <c r="J20" s="4"/>
      <c r="K20" s="4"/>
      <c r="L20" s="5"/>
      <c r="M20" s="6"/>
      <c r="N20" s="3" t="s">
        <v>31</v>
      </c>
      <c r="O20" s="4"/>
      <c r="P20" s="4"/>
      <c r="Q20" s="4"/>
      <c r="R20" s="5"/>
    </row>
    <row r="21" ht="14.25" customHeight="1">
      <c r="B21" s="7"/>
      <c r="C21" s="7"/>
      <c r="D21" s="7"/>
      <c r="E21" s="7"/>
      <c r="F21" s="7"/>
      <c r="G21" s="6"/>
      <c r="H21" s="7"/>
      <c r="I21" s="7"/>
      <c r="J21" s="7"/>
      <c r="K21" s="7"/>
      <c r="L21" s="7"/>
      <c r="M21" s="6"/>
      <c r="N21" s="7"/>
      <c r="O21" s="7"/>
      <c r="P21" s="7"/>
      <c r="Q21" s="7"/>
      <c r="R21" s="7"/>
    </row>
    <row r="22" ht="14.25" customHeight="1">
      <c r="B22" s="7"/>
      <c r="C22" s="7">
        <v>2019.0</v>
      </c>
      <c r="D22" s="7">
        <v>2020.0</v>
      </c>
      <c r="E22" s="7" t="s">
        <v>5</v>
      </c>
      <c r="F22" s="7" t="s">
        <v>6</v>
      </c>
      <c r="G22" s="6"/>
      <c r="H22" s="7"/>
      <c r="I22" s="7">
        <v>2019.0</v>
      </c>
      <c r="J22" s="7">
        <v>2020.0</v>
      </c>
      <c r="K22" s="7" t="s">
        <v>5</v>
      </c>
      <c r="L22" s="7" t="s">
        <v>6</v>
      </c>
      <c r="M22" s="6"/>
      <c r="N22" s="7"/>
      <c r="O22" s="7">
        <v>2019.0</v>
      </c>
      <c r="P22" s="7">
        <v>2020.0</v>
      </c>
      <c r="Q22" s="7" t="s">
        <v>5</v>
      </c>
      <c r="R22" s="7" t="s">
        <v>6</v>
      </c>
    </row>
    <row r="23" ht="14.25" customHeight="1">
      <c r="B23" s="7" t="s">
        <v>7</v>
      </c>
      <c r="C23" s="8">
        <f>128359005/(10^6)</f>
        <v>128.359005</v>
      </c>
      <c r="D23" s="8">
        <f>126959978/(10^6)</f>
        <v>126.959978</v>
      </c>
      <c r="E23" s="7"/>
      <c r="F23" s="7"/>
      <c r="G23" s="6"/>
      <c r="H23" s="7" t="s">
        <v>7</v>
      </c>
      <c r="I23" s="8">
        <f>14331468/(10^6)</f>
        <v>14.331468</v>
      </c>
      <c r="J23" s="8">
        <f>11968674/(10^6)</f>
        <v>11.968674</v>
      </c>
      <c r="K23" s="7"/>
      <c r="L23" s="7"/>
      <c r="M23" s="6"/>
      <c r="N23" s="7" t="s">
        <v>7</v>
      </c>
      <c r="O23" s="8">
        <f>114027537/(10^6)</f>
        <v>114.027537</v>
      </c>
      <c r="P23" s="8">
        <f>114991304/(10^6)</f>
        <v>114.991304</v>
      </c>
      <c r="Q23" s="7"/>
      <c r="R23" s="7"/>
    </row>
    <row r="24" ht="14.25" customHeight="1">
      <c r="B24" s="7" t="s">
        <v>8</v>
      </c>
      <c r="C24" s="8">
        <f>128904963/(10^6)</f>
        <v>128.904963</v>
      </c>
      <c r="D24" s="8">
        <f>128743814/(10^6)</f>
        <v>128.743814</v>
      </c>
      <c r="E24" s="7"/>
      <c r="F24" s="7"/>
      <c r="G24" s="6"/>
      <c r="H24" s="7" t="s">
        <v>8</v>
      </c>
      <c r="I24" s="8">
        <f>13415487/(10^6)</f>
        <v>13.415487</v>
      </c>
      <c r="J24" s="8">
        <f>12453915/(10^6)</f>
        <v>12.453915</v>
      </c>
      <c r="K24" s="7"/>
      <c r="L24" s="7"/>
      <c r="M24" s="6"/>
      <c r="N24" s="7" t="s">
        <v>8</v>
      </c>
      <c r="O24" s="8">
        <f>115489477/(10^6)</f>
        <v>115.489477</v>
      </c>
      <c r="P24" s="8">
        <f>116289899/(10^6)</f>
        <v>116.289899</v>
      </c>
      <c r="Q24" s="7"/>
      <c r="R24" s="7"/>
    </row>
    <row r="25" ht="14.25" customHeight="1">
      <c r="B25" s="7" t="s">
        <v>9</v>
      </c>
      <c r="C25" s="8">
        <f>126855106/(10^6)</f>
        <v>126.855106</v>
      </c>
      <c r="D25" s="8">
        <f>125503217/(10^6)</f>
        <v>125.503217</v>
      </c>
      <c r="E25" s="7"/>
      <c r="F25" s="7"/>
      <c r="G25" s="6"/>
      <c r="H25" s="7" t="s">
        <v>9</v>
      </c>
      <c r="I25" s="8">
        <f>12856919/(10^6)</f>
        <v>12.856919</v>
      </c>
      <c r="J25" s="8">
        <f>11767409/(10^6)</f>
        <v>11.767409</v>
      </c>
      <c r="K25" s="7"/>
      <c r="L25" s="7"/>
      <c r="M25" s="6"/>
      <c r="N25" s="7" t="s">
        <v>9</v>
      </c>
      <c r="O25" s="8">
        <f>113998187/(10^6)</f>
        <v>113.998187</v>
      </c>
      <c r="P25" s="8">
        <f>113735809/(10^6)</f>
        <v>113.735809</v>
      </c>
      <c r="Q25" s="7"/>
      <c r="R25" s="7"/>
    </row>
    <row r="26" ht="14.25" customHeight="1">
      <c r="B26" s="7" t="s">
        <v>10</v>
      </c>
      <c r="C26" s="8">
        <f>126845332/(10^6)</f>
        <v>126.845332</v>
      </c>
      <c r="D26" s="8">
        <f>85198095/(10^6)</f>
        <v>85.198095</v>
      </c>
      <c r="E26" s="17">
        <f t="shared" ref="E26:E33" si="7">D26-C26</f>
        <v>-41.647237</v>
      </c>
      <c r="F26" s="16">
        <f t="shared" ref="F26:F33" si="8">E26/C26</f>
        <v>-0.3283308605</v>
      </c>
      <c r="G26" s="6"/>
      <c r="H26" s="7" t="s">
        <v>10</v>
      </c>
      <c r="I26" s="8">
        <f>11514024/(10^6)</f>
        <v>11.514024</v>
      </c>
      <c r="J26" s="8">
        <f>8333658/(10^6)</f>
        <v>8.333658</v>
      </c>
      <c r="K26" s="17">
        <f t="shared" ref="K26:K33" si="9">J26-I26</f>
        <v>-3.180366</v>
      </c>
      <c r="L26" s="16">
        <f t="shared" ref="L26:L33" si="10">K26/I26</f>
        <v>-0.2762167249</v>
      </c>
      <c r="M26" s="6"/>
      <c r="N26" s="7" t="s">
        <v>10</v>
      </c>
      <c r="O26" s="8">
        <f>115331309/(10^6)</f>
        <v>115.331309</v>
      </c>
      <c r="P26" s="8">
        <f>76864437/(10^6)</f>
        <v>76.864437</v>
      </c>
      <c r="Q26" s="17">
        <f t="shared" ref="Q26:Q33" si="11">P26-O26</f>
        <v>-38.466872</v>
      </c>
      <c r="R26" s="21">
        <f t="shared" ref="R26:R33" si="12">Q26/O26</f>
        <v>-0.3335336461</v>
      </c>
    </row>
    <row r="27" ht="14.25" customHeight="1">
      <c r="B27" s="7" t="s">
        <v>11</v>
      </c>
      <c r="C27" s="8">
        <f>126884967/(10^6)</f>
        <v>126.884967</v>
      </c>
      <c r="D27" s="8">
        <f>94794206/(10^6)</f>
        <v>94.794206</v>
      </c>
      <c r="E27" s="17">
        <f t="shared" si="7"/>
        <v>-32.090761</v>
      </c>
      <c r="F27" s="16">
        <f t="shared" si="8"/>
        <v>-0.2529122382</v>
      </c>
      <c r="G27" s="6"/>
      <c r="H27" s="7" t="s">
        <v>11</v>
      </c>
      <c r="I27" s="8">
        <f>12497901/(10^6)</f>
        <v>12.497901</v>
      </c>
      <c r="J27" s="8">
        <f>9441496/(10^6)</f>
        <v>9.441496</v>
      </c>
      <c r="K27" s="17">
        <f t="shared" si="9"/>
        <v>-3.056405</v>
      </c>
      <c r="L27" s="16">
        <f t="shared" si="10"/>
        <v>-0.2445534654</v>
      </c>
      <c r="M27" s="6"/>
      <c r="N27" s="7" t="s">
        <v>11</v>
      </c>
      <c r="O27" s="8">
        <f>114387066/(10^6)</f>
        <v>114.387066</v>
      </c>
      <c r="P27" s="8">
        <f>85352710/(10^6)</f>
        <v>85.35271</v>
      </c>
      <c r="Q27" s="17">
        <f t="shared" si="11"/>
        <v>-29.034356</v>
      </c>
      <c r="R27" s="21">
        <f t="shared" si="12"/>
        <v>-0.2538255156</v>
      </c>
    </row>
    <row r="28" ht="14.25" customHeight="1">
      <c r="B28" s="7" t="s">
        <v>12</v>
      </c>
      <c r="C28" s="8">
        <f>128370581/(10^6)</f>
        <v>128.370581</v>
      </c>
      <c r="D28" s="8">
        <f>116442663/(10^6)</f>
        <v>116.442663</v>
      </c>
      <c r="E28" s="17">
        <f t="shared" si="7"/>
        <v>-11.927918</v>
      </c>
      <c r="F28" s="16">
        <f t="shared" si="8"/>
        <v>-0.09291784696</v>
      </c>
      <c r="G28" s="6"/>
      <c r="H28" s="7" t="s">
        <v>12</v>
      </c>
      <c r="I28" s="8">
        <f>12497713/(10^6)</f>
        <v>12.497713</v>
      </c>
      <c r="J28" s="8">
        <f>10069359/(10^6)</f>
        <v>10.069359</v>
      </c>
      <c r="K28" s="17">
        <f t="shared" si="9"/>
        <v>-2.428354</v>
      </c>
      <c r="L28" s="16">
        <f t="shared" si="10"/>
        <v>-0.1943038698</v>
      </c>
      <c r="M28" s="6"/>
      <c r="N28" s="7" t="s">
        <v>12</v>
      </c>
      <c r="O28" s="8">
        <f>115872868/(10^6)</f>
        <v>115.872868</v>
      </c>
      <c r="P28" s="8">
        <f>106373304/(10^6)</f>
        <v>106.373304</v>
      </c>
      <c r="Q28" s="17">
        <f t="shared" si="11"/>
        <v>-9.499564</v>
      </c>
      <c r="R28" s="21">
        <f t="shared" si="12"/>
        <v>-0.08198264325</v>
      </c>
    </row>
    <row r="29" ht="14.25" customHeight="1">
      <c r="B29" s="7" t="s">
        <v>13</v>
      </c>
      <c r="C29" s="8">
        <f>126811043/(10^6)</f>
        <v>126.811043</v>
      </c>
      <c r="D29" s="8">
        <f>120097100/(10^6)</f>
        <v>120.0971</v>
      </c>
      <c r="E29" s="17">
        <f t="shared" si="7"/>
        <v>-6.713943</v>
      </c>
      <c r="F29" s="16">
        <f t="shared" si="8"/>
        <v>-0.05294446636</v>
      </c>
      <c r="G29" s="6"/>
      <c r="H29" s="7" t="s">
        <v>13</v>
      </c>
      <c r="I29" s="8">
        <f>12057859/(10^6)</f>
        <v>12.057859</v>
      </c>
      <c r="J29" s="8">
        <f>10371000/(10^6)</f>
        <v>10.371</v>
      </c>
      <c r="K29" s="17">
        <f t="shared" si="9"/>
        <v>-1.686859</v>
      </c>
      <c r="L29" s="16">
        <f t="shared" si="10"/>
        <v>-0.139897058</v>
      </c>
      <c r="M29" s="6"/>
      <c r="N29" s="7" t="s">
        <v>13</v>
      </c>
      <c r="O29" s="8">
        <f>114753185/(10^6)</f>
        <v>114.753185</v>
      </c>
      <c r="P29" s="8">
        <f>109726100/(10^6)</f>
        <v>109.7261</v>
      </c>
      <c r="Q29" s="17">
        <f t="shared" si="11"/>
        <v>-5.027085</v>
      </c>
      <c r="R29" s="21">
        <f t="shared" si="12"/>
        <v>-0.04380780368</v>
      </c>
    </row>
    <row r="30" ht="14.25" customHeight="1">
      <c r="B30" s="7" t="s">
        <v>14</v>
      </c>
      <c r="C30" s="8">
        <f>126841184/(10^6)</f>
        <v>126.841184</v>
      </c>
      <c r="D30" s="8">
        <f>123799505/(10^6)</f>
        <v>123.799505</v>
      </c>
      <c r="E30" s="17">
        <f t="shared" si="7"/>
        <v>-3.041679</v>
      </c>
      <c r="F30" s="16">
        <f t="shared" si="8"/>
        <v>-0.02398021608</v>
      </c>
      <c r="G30" s="6"/>
      <c r="H30" s="7" t="s">
        <v>14</v>
      </c>
      <c r="I30" s="8">
        <f>11245363/(10^6)</f>
        <v>11.245363</v>
      </c>
      <c r="J30" s="8">
        <f>11009334/(10^6)</f>
        <v>11.009334</v>
      </c>
      <c r="K30" s="17">
        <f t="shared" si="9"/>
        <v>-0.236029</v>
      </c>
      <c r="L30" s="16">
        <f t="shared" si="10"/>
        <v>-0.02098900676</v>
      </c>
      <c r="M30" s="6"/>
      <c r="N30" s="7" t="s">
        <v>14</v>
      </c>
      <c r="O30" s="8">
        <f>115595822/(10^6)</f>
        <v>115.595822</v>
      </c>
      <c r="P30" s="8">
        <f>112790171/(10^6)</f>
        <v>112.790171</v>
      </c>
      <c r="Q30" s="17">
        <f t="shared" si="11"/>
        <v>-2.805651</v>
      </c>
      <c r="R30" s="21">
        <f t="shared" si="12"/>
        <v>-0.02427121458</v>
      </c>
    </row>
    <row r="31" ht="14.25" customHeight="1">
      <c r="B31" s="7" t="s">
        <v>15</v>
      </c>
      <c r="C31" s="8">
        <f>126833318/(10^6)</f>
        <v>126.833318</v>
      </c>
      <c r="D31" s="8">
        <f>121496139/(10^6)</f>
        <v>121.496139</v>
      </c>
      <c r="E31" s="17">
        <f t="shared" si="7"/>
        <v>-5.337179</v>
      </c>
      <c r="F31" s="16">
        <f t="shared" si="8"/>
        <v>-0.04208026001</v>
      </c>
      <c r="G31" s="6"/>
      <c r="H31" s="7" t="s">
        <v>15</v>
      </c>
      <c r="I31" s="8">
        <f>12581034/(10^6)</f>
        <v>12.581034</v>
      </c>
      <c r="J31" s="8">
        <f>10122570/(10^6)</f>
        <v>10.12257</v>
      </c>
      <c r="K31" s="17">
        <f t="shared" si="9"/>
        <v>-2.458464</v>
      </c>
      <c r="L31" s="16">
        <f t="shared" si="10"/>
        <v>-0.1954103295</v>
      </c>
      <c r="M31" s="6"/>
      <c r="N31" s="7" t="s">
        <v>15</v>
      </c>
      <c r="O31" s="8">
        <f>114252283/(10^6)</f>
        <v>114.252283</v>
      </c>
      <c r="P31" s="8">
        <f>111373569/(10^6)</f>
        <v>111.373569</v>
      </c>
      <c r="Q31" s="17">
        <f t="shared" si="11"/>
        <v>-2.878714</v>
      </c>
      <c r="R31" s="21">
        <f t="shared" si="12"/>
        <v>-0.02519611796</v>
      </c>
    </row>
    <row r="32" ht="14.25" customHeight="1">
      <c r="B32" s="7" t="s">
        <v>16</v>
      </c>
      <c r="C32" s="8">
        <f>128751633/(10^6)</f>
        <v>128.751633</v>
      </c>
      <c r="D32" s="8">
        <f>123471014/(10^6)</f>
        <v>123.471014</v>
      </c>
      <c r="E32" s="17">
        <f t="shared" si="7"/>
        <v>-5.280619</v>
      </c>
      <c r="F32" s="16">
        <f t="shared" si="8"/>
        <v>-0.0410139963</v>
      </c>
      <c r="G32" s="6"/>
      <c r="H32" s="7" t="s">
        <v>16</v>
      </c>
      <c r="I32" s="8">
        <f>12317950/(10^6)</f>
        <v>12.31795</v>
      </c>
      <c r="J32" s="8">
        <f>10251035/(10^6)</f>
        <v>10.251035</v>
      </c>
      <c r="K32" s="17">
        <f t="shared" si="9"/>
        <v>-2.066915</v>
      </c>
      <c r="L32" s="16">
        <f t="shared" si="10"/>
        <v>-0.1677969954</v>
      </c>
      <c r="M32" s="6"/>
      <c r="N32" s="7" t="s">
        <v>16</v>
      </c>
      <c r="O32" s="8">
        <f>116433684/(10^6)</f>
        <v>116.433684</v>
      </c>
      <c r="P32" s="8">
        <f>113219978/(10^6)</f>
        <v>113.219978</v>
      </c>
      <c r="Q32" s="17">
        <f t="shared" si="11"/>
        <v>-3.213706</v>
      </c>
      <c r="R32" s="16">
        <f t="shared" si="12"/>
        <v>-0.02760117081</v>
      </c>
    </row>
    <row r="33" ht="14.25" customHeight="1">
      <c r="B33" s="10" t="s">
        <v>17</v>
      </c>
      <c r="C33" s="11">
        <f>127178009/(10^6)</f>
        <v>127.178009</v>
      </c>
      <c r="D33" s="19">
        <f>122520650/(10^6)</f>
        <v>122.52065</v>
      </c>
      <c r="E33" s="14">
        <f t="shared" si="7"/>
        <v>-4.657359</v>
      </c>
      <c r="F33" s="13">
        <f t="shared" si="8"/>
        <v>-0.03662078874</v>
      </c>
      <c r="G33" s="6"/>
      <c r="H33" s="10" t="s">
        <v>17</v>
      </c>
      <c r="I33" s="11">
        <f>12097195/(10^6)</f>
        <v>12.097195</v>
      </c>
      <c r="J33" s="19">
        <f>9335665/(10^6)</f>
        <v>9.335665</v>
      </c>
      <c r="K33" s="14">
        <f t="shared" si="9"/>
        <v>-2.76153</v>
      </c>
      <c r="L33" s="13">
        <f t="shared" si="10"/>
        <v>-0.228278539</v>
      </c>
      <c r="M33" s="6"/>
      <c r="N33" s="10" t="s">
        <v>17</v>
      </c>
      <c r="O33" s="11">
        <f>115080813/(10^6)</f>
        <v>115.080813</v>
      </c>
      <c r="P33" s="19">
        <f>113184986/(10^6)</f>
        <v>113.184986</v>
      </c>
      <c r="Q33" s="14">
        <f t="shared" si="11"/>
        <v>-1.895827</v>
      </c>
      <c r="R33" s="13">
        <f t="shared" si="12"/>
        <v>-0.01647387562</v>
      </c>
    </row>
    <row r="34" ht="14.25" customHeight="1">
      <c r="B34" s="7" t="s">
        <v>18</v>
      </c>
      <c r="C34" s="8">
        <f>128055174/(10^6)</f>
        <v>128.055174</v>
      </c>
      <c r="D34" s="8"/>
      <c r="E34" s="7"/>
      <c r="F34" s="7"/>
      <c r="G34" s="6"/>
      <c r="H34" s="7" t="s">
        <v>18</v>
      </c>
      <c r="I34" s="8">
        <f>11298088/(10^6)</f>
        <v>11.298088</v>
      </c>
      <c r="J34" s="8"/>
      <c r="K34" s="7"/>
      <c r="L34" s="7"/>
      <c r="M34" s="6"/>
      <c r="N34" s="7" t="s">
        <v>18</v>
      </c>
      <c r="O34" s="8">
        <f>116757087/(10^6)</f>
        <v>116.757087</v>
      </c>
      <c r="P34" s="8"/>
      <c r="Q34" s="7"/>
      <c r="R34" s="7"/>
    </row>
    <row r="35" ht="14.25" customHeight="1"/>
    <row r="36" ht="14.25" customHeight="1">
      <c r="B36" s="3" t="s">
        <v>32</v>
      </c>
      <c r="C36" s="4"/>
      <c r="D36" s="4"/>
      <c r="E36" s="4"/>
      <c r="F36" s="5"/>
      <c r="G36" s="6"/>
      <c r="H36" s="3" t="s">
        <v>33</v>
      </c>
      <c r="I36" s="4"/>
      <c r="J36" s="4"/>
      <c r="K36" s="4"/>
      <c r="L36" s="5"/>
      <c r="M36" s="6"/>
      <c r="N36" s="3" t="s">
        <v>34</v>
      </c>
      <c r="O36" s="4"/>
      <c r="P36" s="4"/>
      <c r="Q36" s="4"/>
      <c r="R36" s="5"/>
    </row>
    <row r="37" ht="14.25" customHeight="1">
      <c r="B37" s="7"/>
      <c r="C37" s="7"/>
      <c r="D37" s="7"/>
      <c r="E37" s="7"/>
      <c r="F37" s="7"/>
      <c r="G37" s="6"/>
      <c r="H37" s="7"/>
      <c r="I37" s="7"/>
      <c r="J37" s="7"/>
      <c r="K37" s="7"/>
      <c r="L37" s="7"/>
      <c r="M37" s="6"/>
      <c r="N37" s="7"/>
      <c r="O37" s="7"/>
      <c r="P37" s="7"/>
      <c r="Q37" s="7"/>
      <c r="R37" s="7"/>
    </row>
    <row r="38" ht="14.25" customHeight="1">
      <c r="B38" s="7"/>
      <c r="C38" s="7">
        <v>2019.0</v>
      </c>
      <c r="D38" s="7">
        <v>2020.0</v>
      </c>
      <c r="E38" s="7" t="s">
        <v>5</v>
      </c>
      <c r="F38" s="7" t="s">
        <v>6</v>
      </c>
      <c r="G38" s="6"/>
      <c r="H38" s="7"/>
      <c r="I38" s="7">
        <v>2019.0</v>
      </c>
      <c r="J38" s="7">
        <v>2020.0</v>
      </c>
      <c r="K38" s="7" t="s">
        <v>5</v>
      </c>
      <c r="L38" s="7" t="s">
        <v>6</v>
      </c>
      <c r="M38" s="6"/>
      <c r="N38" s="7"/>
      <c r="O38" s="7">
        <v>2019.0</v>
      </c>
      <c r="P38" s="7">
        <v>2020.0</v>
      </c>
      <c r="Q38" s="7" t="s">
        <v>5</v>
      </c>
      <c r="R38" s="7" t="s">
        <v>6</v>
      </c>
    </row>
    <row r="39" ht="14.25" customHeight="1">
      <c r="B39" s="7" t="s">
        <v>7</v>
      </c>
      <c r="C39" s="8">
        <f>277734721/(10^6)</f>
        <v>277.734721</v>
      </c>
      <c r="D39" s="8">
        <f>283513935/(10^6)</f>
        <v>283.513935</v>
      </c>
      <c r="E39" s="7"/>
      <c r="F39" s="7"/>
      <c r="G39" s="6"/>
      <c r="H39" s="7" t="s">
        <v>7</v>
      </c>
      <c r="I39" s="8">
        <v>32.471474</v>
      </c>
      <c r="J39" s="8">
        <v>33.914832</v>
      </c>
      <c r="K39" s="7"/>
      <c r="L39" s="7"/>
      <c r="M39" s="6"/>
      <c r="N39" s="7" t="s">
        <v>7</v>
      </c>
      <c r="O39" s="8">
        <v>245.263247</v>
      </c>
      <c r="P39" s="8">
        <v>249.599104</v>
      </c>
      <c r="Q39" s="7"/>
      <c r="R39" s="7"/>
    </row>
    <row r="40" ht="14.25" customHeight="1">
      <c r="B40" s="7" t="s">
        <v>8</v>
      </c>
      <c r="C40" s="8">
        <f>271009007/(10^6)</f>
        <v>271.009007</v>
      </c>
      <c r="D40" s="8">
        <f>277210355/(10^6)</f>
        <v>277.210355</v>
      </c>
      <c r="E40" s="7"/>
      <c r="F40" s="7"/>
      <c r="G40" s="6"/>
      <c r="H40" s="7" t="s">
        <v>8</v>
      </c>
      <c r="I40" s="8">
        <v>28.955312</v>
      </c>
      <c r="J40" s="8">
        <v>29.346273</v>
      </c>
      <c r="K40" s="7"/>
      <c r="L40" s="7"/>
      <c r="M40" s="6"/>
      <c r="N40" s="7" t="s">
        <v>8</v>
      </c>
      <c r="O40" s="8">
        <v>242.053695</v>
      </c>
      <c r="P40" s="8">
        <v>247.864082</v>
      </c>
      <c r="Q40" s="7"/>
      <c r="R40" s="7"/>
    </row>
    <row r="41" ht="14.25" customHeight="1">
      <c r="B41" s="7" t="s">
        <v>9</v>
      </c>
      <c r="C41" s="8">
        <f>275745758/(10^6)</f>
        <v>275.745758</v>
      </c>
      <c r="D41" s="8">
        <f>270337539/(10^6)</f>
        <v>270.337539</v>
      </c>
      <c r="E41" s="7"/>
      <c r="F41" s="7"/>
      <c r="G41" s="6"/>
      <c r="H41" s="7" t="s">
        <v>9</v>
      </c>
      <c r="I41" s="8">
        <v>32.968605</v>
      </c>
      <c r="J41" s="8">
        <v>29.840512</v>
      </c>
      <c r="K41" s="7"/>
      <c r="L41" s="7"/>
      <c r="M41" s="6"/>
      <c r="N41" s="7" t="s">
        <v>9</v>
      </c>
      <c r="O41" s="8">
        <v>242.777153</v>
      </c>
      <c r="P41" s="8">
        <v>240.497026</v>
      </c>
      <c r="Q41" s="7"/>
      <c r="R41" s="7"/>
    </row>
    <row r="42" ht="14.25" customHeight="1">
      <c r="B42" s="7" t="s">
        <v>10</v>
      </c>
      <c r="C42" s="8">
        <f>272402863/(10^6)</f>
        <v>272.402863</v>
      </c>
      <c r="D42" s="8">
        <f>197005721/(10^6)</f>
        <v>197.005721</v>
      </c>
      <c r="E42" s="17">
        <f t="shared" ref="E42:E49" si="13">D42-C42</f>
        <v>-75.397142</v>
      </c>
      <c r="F42" s="16">
        <f t="shared" ref="F42:F49" si="14">E42/C42</f>
        <v>-0.2767854242</v>
      </c>
      <c r="G42" s="6"/>
      <c r="H42" s="7" t="s">
        <v>10</v>
      </c>
      <c r="I42" s="8">
        <v>29.727515</v>
      </c>
      <c r="J42" s="8">
        <v>17.841061</v>
      </c>
      <c r="K42" s="17">
        <f t="shared" ref="K42:K49" si="15">J42-I42</f>
        <v>-11.886454</v>
      </c>
      <c r="L42" s="21">
        <f t="shared" ref="L42:L49" si="16">K42/I42</f>
        <v>-0.3998468759</v>
      </c>
      <c r="M42" s="6"/>
      <c r="N42" s="7" t="s">
        <v>10</v>
      </c>
      <c r="O42" s="8">
        <v>242.675348</v>
      </c>
      <c r="P42" s="8">
        <v>179.164661</v>
      </c>
      <c r="Q42" s="23">
        <f t="shared" ref="Q42:Q49" si="17">P42-O42</f>
        <v>-63.510687</v>
      </c>
      <c r="R42" s="21">
        <f t="shared" ref="R42:R49" si="18">Q42/O42</f>
        <v>-0.2617105014</v>
      </c>
    </row>
    <row r="43" ht="14.25" customHeight="1">
      <c r="B43" s="7" t="s">
        <v>11</v>
      </c>
      <c r="C43" s="8">
        <f>276818225/(10^6)</f>
        <v>276.818225</v>
      </c>
      <c r="D43" s="8">
        <f>218999630/(10^6)</f>
        <v>218.99963</v>
      </c>
      <c r="E43" s="17">
        <f t="shared" si="13"/>
        <v>-57.818595</v>
      </c>
      <c r="F43" s="16">
        <f t="shared" si="14"/>
        <v>-0.2088684551</v>
      </c>
      <c r="G43" s="6"/>
      <c r="H43" s="7" t="s">
        <v>11</v>
      </c>
      <c r="I43" s="8">
        <v>31.214677</v>
      </c>
      <c r="J43" s="8">
        <v>23.440527</v>
      </c>
      <c r="K43" s="17">
        <f t="shared" si="15"/>
        <v>-7.77415</v>
      </c>
      <c r="L43" s="21">
        <f t="shared" si="16"/>
        <v>-0.2490543151</v>
      </c>
      <c r="M43" s="6"/>
      <c r="N43" s="7" t="s">
        <v>11</v>
      </c>
      <c r="O43" s="8">
        <v>245.603549</v>
      </c>
      <c r="P43" s="8">
        <v>195.559103</v>
      </c>
      <c r="Q43" s="23">
        <f t="shared" si="17"/>
        <v>-50.044446</v>
      </c>
      <c r="R43" s="21">
        <f t="shared" si="18"/>
        <v>-0.2037610865</v>
      </c>
    </row>
    <row r="44" ht="14.25" customHeight="1">
      <c r="B44" s="7" t="s">
        <v>12</v>
      </c>
      <c r="C44" s="8">
        <f>271966809/(10^6)</f>
        <v>271.966809</v>
      </c>
      <c r="D44" s="8">
        <f>260550873/(10^6)</f>
        <v>260.550873</v>
      </c>
      <c r="E44" s="17">
        <f t="shared" si="13"/>
        <v>-11.415936</v>
      </c>
      <c r="F44" s="16">
        <f t="shared" si="14"/>
        <v>-0.04197547503</v>
      </c>
      <c r="G44" s="6"/>
      <c r="H44" s="7" t="s">
        <v>12</v>
      </c>
      <c r="I44" s="8">
        <v>27.736005</v>
      </c>
      <c r="J44" s="8">
        <v>29.335174</v>
      </c>
      <c r="K44" s="17">
        <f t="shared" si="15"/>
        <v>1.599169</v>
      </c>
      <c r="L44" s="21">
        <f t="shared" si="16"/>
        <v>0.05765678943</v>
      </c>
      <c r="M44" s="6"/>
      <c r="N44" s="7" t="s">
        <v>12</v>
      </c>
      <c r="O44" s="8">
        <v>244.230803</v>
      </c>
      <c r="P44" s="8">
        <v>231.215698</v>
      </c>
      <c r="Q44" s="23">
        <f t="shared" si="17"/>
        <v>-13.015105</v>
      </c>
      <c r="R44" s="21">
        <f t="shared" si="18"/>
        <v>-0.05329018633</v>
      </c>
    </row>
    <row r="45" ht="14.25" customHeight="1">
      <c r="B45" s="7" t="s">
        <v>13</v>
      </c>
      <c r="C45" s="8">
        <f>276253235/(10^6)</f>
        <v>276.253235</v>
      </c>
      <c r="D45" s="8">
        <f>272243964/(10^6)</f>
        <v>272.243964</v>
      </c>
      <c r="E45" s="17">
        <f t="shared" si="13"/>
        <v>-4.009271</v>
      </c>
      <c r="F45" s="16">
        <f t="shared" si="14"/>
        <v>-0.01451302824</v>
      </c>
      <c r="G45" s="6"/>
      <c r="H45" s="7" t="s">
        <v>13</v>
      </c>
      <c r="I45" s="8">
        <v>32.204035</v>
      </c>
      <c r="J45" s="8">
        <v>32.373836</v>
      </c>
      <c r="K45" s="17">
        <f t="shared" si="15"/>
        <v>0.169801</v>
      </c>
      <c r="L45" s="21">
        <f t="shared" si="16"/>
        <v>0.005272662261</v>
      </c>
      <c r="M45" s="6"/>
      <c r="N45" s="7" t="s">
        <v>13</v>
      </c>
      <c r="O45" s="8">
        <v>244.0492</v>
      </c>
      <c r="P45" s="8">
        <v>239.870128</v>
      </c>
      <c r="Q45" s="23">
        <f t="shared" si="17"/>
        <v>-4.179072</v>
      </c>
      <c r="R45" s="21">
        <f t="shared" si="18"/>
        <v>-0.01712389141</v>
      </c>
    </row>
    <row r="46" ht="14.25" customHeight="1">
      <c r="B46" s="7" t="s">
        <v>14</v>
      </c>
      <c r="C46" s="8">
        <f>276404335/(10^6)</f>
        <v>276.404335</v>
      </c>
      <c r="D46" s="8">
        <f>268720798/(10^6)</f>
        <v>268.720798</v>
      </c>
      <c r="E46" s="17">
        <f t="shared" si="13"/>
        <v>-7.683537</v>
      </c>
      <c r="F46" s="16">
        <f t="shared" si="14"/>
        <v>-0.02779817835</v>
      </c>
      <c r="G46" s="6"/>
      <c r="H46" s="7" t="s">
        <v>14</v>
      </c>
      <c r="I46" s="8">
        <v>32.168991</v>
      </c>
      <c r="J46" s="8">
        <v>28.287077</v>
      </c>
      <c r="K46" s="17">
        <f t="shared" si="15"/>
        <v>-3.881914</v>
      </c>
      <c r="L46" s="21">
        <f t="shared" si="16"/>
        <v>-0.1206725446</v>
      </c>
      <c r="M46" s="6"/>
      <c r="N46" s="7" t="s">
        <v>14</v>
      </c>
      <c r="O46" s="8">
        <v>244.235344</v>
      </c>
      <c r="P46" s="8">
        <v>240.433721</v>
      </c>
      <c r="Q46" s="23">
        <f t="shared" si="17"/>
        <v>-3.801623</v>
      </c>
      <c r="R46" s="21">
        <f t="shared" si="18"/>
        <v>-0.01556540891</v>
      </c>
    </row>
    <row r="47" ht="14.25" customHeight="1">
      <c r="B47" s="7" t="s">
        <v>15</v>
      </c>
      <c r="C47" s="8">
        <f>279885439/(10^6)</f>
        <v>279.885439</v>
      </c>
      <c r="D47" s="8">
        <f>276128688/(10^6)</f>
        <v>276.128688</v>
      </c>
      <c r="E47" s="17">
        <f t="shared" si="13"/>
        <v>-3.756751</v>
      </c>
      <c r="F47" s="16">
        <f t="shared" si="14"/>
        <v>-0.01342245961</v>
      </c>
      <c r="G47" s="6"/>
      <c r="H47" s="7" t="s">
        <v>15</v>
      </c>
      <c r="I47" s="8">
        <v>32.310357</v>
      </c>
      <c r="J47" s="8">
        <v>32.522099</v>
      </c>
      <c r="K47" s="17">
        <f t="shared" si="15"/>
        <v>0.211742</v>
      </c>
      <c r="L47" s="21">
        <f t="shared" si="16"/>
        <v>0.006553378534</v>
      </c>
      <c r="M47" s="6"/>
      <c r="N47" s="7" t="s">
        <v>15</v>
      </c>
      <c r="O47" s="8">
        <v>247.575082</v>
      </c>
      <c r="P47" s="8">
        <v>243.606588</v>
      </c>
      <c r="Q47" s="23">
        <f t="shared" si="17"/>
        <v>-3.968494</v>
      </c>
      <c r="R47" s="21">
        <f t="shared" si="18"/>
        <v>-0.01602945647</v>
      </c>
    </row>
    <row r="48" ht="14.25" customHeight="1">
      <c r="B48" s="7" t="s">
        <v>16</v>
      </c>
      <c r="C48" s="8">
        <f>275372602/(10^6)</f>
        <v>275.372602</v>
      </c>
      <c r="D48" s="8">
        <f>273596746/(10^6)</f>
        <v>273.596746</v>
      </c>
      <c r="E48" s="17">
        <f t="shared" si="13"/>
        <v>-1.775856</v>
      </c>
      <c r="F48" s="16">
        <f t="shared" si="14"/>
        <v>-0.006448920434</v>
      </c>
      <c r="G48" s="6"/>
      <c r="H48" s="7" t="s">
        <v>16</v>
      </c>
      <c r="I48" s="8">
        <v>28.930381</v>
      </c>
      <c r="J48" s="8">
        <v>29.428211</v>
      </c>
      <c r="K48" s="17">
        <f t="shared" si="15"/>
        <v>0.49783</v>
      </c>
      <c r="L48" s="16">
        <f t="shared" si="16"/>
        <v>0.01720786187</v>
      </c>
      <c r="M48" s="6"/>
      <c r="N48" s="7" t="s">
        <v>16</v>
      </c>
      <c r="O48" s="8">
        <v>246.442221</v>
      </c>
      <c r="P48" s="8">
        <v>244.168535</v>
      </c>
      <c r="Q48" s="23">
        <f t="shared" si="17"/>
        <v>-2.273686</v>
      </c>
      <c r="R48" s="16">
        <f t="shared" si="18"/>
        <v>-0.009226040858</v>
      </c>
    </row>
    <row r="49" ht="14.25" customHeight="1">
      <c r="B49" s="10" t="s">
        <v>17</v>
      </c>
      <c r="C49" s="11">
        <f>275871903/(10^6)</f>
        <v>275.871903</v>
      </c>
      <c r="D49" s="19">
        <f>271033361/(10^6)</f>
        <v>271.033361</v>
      </c>
      <c r="E49" s="14">
        <f t="shared" si="13"/>
        <v>-4.838542</v>
      </c>
      <c r="F49" s="13">
        <f t="shared" si="14"/>
        <v>-0.01753908951</v>
      </c>
      <c r="G49" s="6"/>
      <c r="H49" s="10" t="s">
        <v>17</v>
      </c>
      <c r="I49" s="11">
        <v>31.757208</v>
      </c>
      <c r="J49" s="19">
        <f>28794663/(10^6)</f>
        <v>28.794663</v>
      </c>
      <c r="K49" s="14">
        <f t="shared" si="15"/>
        <v>-2.962545</v>
      </c>
      <c r="L49" s="13">
        <f t="shared" si="16"/>
        <v>-0.09328732551</v>
      </c>
      <c r="M49" s="6"/>
      <c r="N49" s="10" t="s">
        <v>17</v>
      </c>
      <c r="O49" s="11">
        <v>244.114695</v>
      </c>
      <c r="P49" s="19">
        <f>242238699/(10^6)</f>
        <v>242.238699</v>
      </c>
      <c r="Q49" s="29">
        <f t="shared" si="17"/>
        <v>-1.875996</v>
      </c>
      <c r="R49" s="13">
        <f t="shared" si="18"/>
        <v>-0.007684895823</v>
      </c>
    </row>
    <row r="50" ht="14.25" customHeight="1">
      <c r="B50" s="7" t="s">
        <v>18</v>
      </c>
      <c r="C50" s="8">
        <f>277592371/(10^6)</f>
        <v>277.592371</v>
      </c>
      <c r="D50" s="8"/>
      <c r="E50" s="7"/>
      <c r="F50" s="7"/>
      <c r="G50" s="6"/>
      <c r="H50" s="7" t="s">
        <v>18</v>
      </c>
      <c r="I50" s="8">
        <v>32.861444</v>
      </c>
      <c r="J50" s="8"/>
      <c r="K50" s="7"/>
      <c r="L50" s="7"/>
      <c r="M50" s="6"/>
      <c r="N50" s="7" t="s">
        <v>18</v>
      </c>
      <c r="O50" s="8">
        <v>244.730927</v>
      </c>
      <c r="P50" s="8"/>
      <c r="Q50" s="7"/>
      <c r="R50" s="7"/>
    </row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H36:L36"/>
    <mergeCell ref="N36:R36"/>
    <mergeCell ref="B4:F4"/>
    <mergeCell ref="H4:L4"/>
    <mergeCell ref="N4:R4"/>
    <mergeCell ref="B20:F20"/>
    <mergeCell ref="H20:L20"/>
    <mergeCell ref="N20:R20"/>
    <mergeCell ref="B36:F3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7.88"/>
    <col customWidth="1" min="3" max="3" width="30.5"/>
    <col customWidth="1" min="4" max="6" width="16.63"/>
    <col customWidth="1" min="7" max="26" width="7.63"/>
  </cols>
  <sheetData>
    <row r="1" ht="11.2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11.25" customHeight="1">
      <c r="A2" s="30"/>
      <c r="B2" s="31" t="s">
        <v>35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11.25" customHeight="1">
      <c r="A3" s="30"/>
      <c r="B3" s="30"/>
      <c r="C3" s="32"/>
      <c r="D3" s="32"/>
      <c r="E3" s="32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11.25" customHeight="1">
      <c r="A4" s="30"/>
      <c r="B4" s="30"/>
      <c r="C4" s="33"/>
      <c r="D4" s="34" t="s">
        <v>36</v>
      </c>
      <c r="E4" s="34" t="s">
        <v>37</v>
      </c>
      <c r="F4" s="34" t="s">
        <v>38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11.25" customHeight="1">
      <c r="A5" s="30"/>
      <c r="B5" s="30"/>
      <c r="C5" s="35" t="s">
        <v>39</v>
      </c>
      <c r="D5" s="4"/>
      <c r="E5" s="4"/>
      <c r="F5" s="5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11.25" customHeight="1">
      <c r="A6" s="30"/>
      <c r="B6" s="30"/>
      <c r="C6" s="36">
        <v>43556.0</v>
      </c>
      <c r="D6" s="33" t="s">
        <v>40</v>
      </c>
      <c r="E6" s="33" t="s">
        <v>41</v>
      </c>
      <c r="F6" s="33" t="s">
        <v>42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11.25" customHeight="1">
      <c r="A7" s="30"/>
      <c r="B7" s="30"/>
      <c r="C7" s="36">
        <v>43922.0</v>
      </c>
      <c r="D7" s="33" t="s">
        <v>43</v>
      </c>
      <c r="E7" s="33" t="s">
        <v>44</v>
      </c>
      <c r="F7" s="33" t="s">
        <v>45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11.25" customHeight="1">
      <c r="A8" s="30"/>
      <c r="B8" s="30"/>
      <c r="C8" s="33" t="s">
        <v>46</v>
      </c>
      <c r="D8" s="33" t="s">
        <v>47</v>
      </c>
      <c r="E8" s="33" t="s">
        <v>48</v>
      </c>
      <c r="F8" s="33" t="s">
        <v>49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11.25" customHeight="1">
      <c r="A9" s="30"/>
      <c r="B9" s="30"/>
      <c r="C9" s="33" t="s">
        <v>50</v>
      </c>
      <c r="D9" s="37">
        <f>(13/50)</f>
        <v>0.26</v>
      </c>
      <c r="E9" s="37">
        <f>49/381</f>
        <v>0.1286089239</v>
      </c>
      <c r="F9" s="37">
        <f>62/431</f>
        <v>0.1438515081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11.25" customHeight="1">
      <c r="A10" s="30"/>
      <c r="B10" s="30"/>
      <c r="C10" s="35" t="s">
        <v>51</v>
      </c>
      <c r="D10" s="4"/>
      <c r="E10" s="4"/>
      <c r="F10" s="5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ht="11.25" customHeight="1">
      <c r="A11" s="30"/>
      <c r="B11" s="30"/>
      <c r="C11" s="36">
        <v>43770.0</v>
      </c>
      <c r="D11" s="33" t="s">
        <v>52</v>
      </c>
      <c r="E11" s="33" t="s">
        <v>53</v>
      </c>
      <c r="F11" s="33" t="s">
        <v>54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1.25" customHeight="1">
      <c r="A12" s="30"/>
      <c r="B12" s="30"/>
      <c r="C12" s="36">
        <v>44136.0</v>
      </c>
      <c r="D12" s="33" t="s">
        <v>55</v>
      </c>
      <c r="E12" s="33" t="s">
        <v>56</v>
      </c>
      <c r="F12" s="33" t="s">
        <v>57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11.25" customHeight="1">
      <c r="A13" s="30"/>
      <c r="B13" s="30"/>
      <c r="C13" s="33" t="s">
        <v>58</v>
      </c>
      <c r="D13" s="33" t="s">
        <v>59</v>
      </c>
      <c r="E13" s="33" t="s">
        <v>60</v>
      </c>
      <c r="F13" s="33" t="s">
        <v>61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11.25" customHeight="1">
      <c r="A14" s="30"/>
      <c r="B14" s="30"/>
      <c r="C14" s="33" t="s">
        <v>62</v>
      </c>
      <c r="D14" s="37">
        <v>0.13</v>
      </c>
      <c r="E14" s="37">
        <f>(7.5/388)</f>
        <v>0.01932989691</v>
      </c>
      <c r="F14" s="37">
        <f>(13/400)</f>
        <v>0.0325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11.25" customHeight="1">
      <c r="A15" s="30"/>
      <c r="B15" s="30"/>
      <c r="C15" s="38" t="s">
        <v>63</v>
      </c>
      <c r="D15" s="39"/>
      <c r="E15" s="39"/>
      <c r="F15" s="39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11.25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11.25" customHeight="1">
      <c r="A17" s="30"/>
      <c r="B17" s="31" t="s">
        <v>64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ht="11.25" customHeight="1">
      <c r="A18" s="30"/>
      <c r="B18" s="30"/>
      <c r="C18" s="32"/>
      <c r="D18" s="32"/>
      <c r="E18" s="32"/>
      <c r="F18" s="32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ht="11.25" customHeight="1">
      <c r="A19" s="30"/>
      <c r="B19" s="30"/>
      <c r="C19" s="33"/>
      <c r="D19" s="34" t="s">
        <v>36</v>
      </c>
      <c r="E19" s="34" t="s">
        <v>37</v>
      </c>
      <c r="F19" s="34" t="s">
        <v>38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ht="11.25" customHeight="1">
      <c r="A20" s="30"/>
      <c r="B20" s="30"/>
      <c r="C20" s="35" t="s">
        <v>39</v>
      </c>
      <c r="D20" s="4"/>
      <c r="E20" s="4"/>
      <c r="F20" s="5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11.25" customHeight="1">
      <c r="A21" s="30"/>
      <c r="B21" s="30"/>
      <c r="C21" s="36">
        <v>43556.0</v>
      </c>
      <c r="D21" s="33" t="s">
        <v>65</v>
      </c>
      <c r="E21" s="33" t="s">
        <v>66</v>
      </c>
      <c r="F21" s="33" t="s">
        <v>67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ht="11.25" customHeight="1">
      <c r="A22" s="30"/>
      <c r="B22" s="30"/>
      <c r="C22" s="36">
        <v>43922.0</v>
      </c>
      <c r="D22" s="33" t="s">
        <v>68</v>
      </c>
      <c r="E22" s="33" t="s">
        <v>69</v>
      </c>
      <c r="F22" s="33" t="s">
        <v>70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11.25" customHeight="1">
      <c r="A23" s="30"/>
      <c r="B23" s="30"/>
      <c r="C23" s="33" t="s">
        <v>46</v>
      </c>
      <c r="D23" s="33" t="s">
        <v>71</v>
      </c>
      <c r="E23" s="33" t="s">
        <v>72</v>
      </c>
      <c r="F23" s="33" t="s">
        <v>73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11.25" customHeight="1">
      <c r="A24" s="30"/>
      <c r="B24" s="30"/>
      <c r="C24" s="33" t="s">
        <v>50</v>
      </c>
      <c r="D24" s="40">
        <v>0.365</v>
      </c>
      <c r="E24" s="40">
        <v>0.285</v>
      </c>
      <c r="F24" s="37">
        <v>0.3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11.25" customHeight="1">
      <c r="A25" s="30"/>
      <c r="B25" s="30"/>
      <c r="C25" s="35" t="s">
        <v>51</v>
      </c>
      <c r="D25" s="4"/>
      <c r="E25" s="4"/>
      <c r="F25" s="5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1.25" customHeight="1">
      <c r="A26" s="30"/>
      <c r="B26" s="30"/>
      <c r="C26" s="36">
        <v>43770.0</v>
      </c>
      <c r="D26" s="33" t="s">
        <v>74</v>
      </c>
      <c r="E26" s="33" t="s">
        <v>75</v>
      </c>
      <c r="F26" s="33" t="s">
        <v>76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11.25" customHeight="1">
      <c r="A27" s="30"/>
      <c r="B27" s="30"/>
      <c r="C27" s="36">
        <v>44136.0</v>
      </c>
      <c r="D27" s="33" t="s">
        <v>77</v>
      </c>
      <c r="E27" s="33" t="s">
        <v>78</v>
      </c>
      <c r="F27" s="33" t="s">
        <v>79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1.25" customHeight="1">
      <c r="A28" s="30"/>
      <c r="B28" s="30"/>
      <c r="C28" s="33" t="s">
        <v>58</v>
      </c>
      <c r="D28" s="33" t="s">
        <v>80</v>
      </c>
      <c r="E28" s="33" t="s">
        <v>81</v>
      </c>
      <c r="F28" s="33" t="s">
        <v>82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1.25" customHeight="1">
      <c r="A29" s="30"/>
      <c r="B29" s="30"/>
      <c r="C29" s="33" t="s">
        <v>62</v>
      </c>
      <c r="D29" s="37">
        <v>0.13</v>
      </c>
      <c r="E29" s="37">
        <v>0.011</v>
      </c>
      <c r="F29" s="37">
        <v>0.024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1.25" customHeight="1">
      <c r="A30" s="30"/>
      <c r="B30" s="30"/>
      <c r="C30" s="38" t="s">
        <v>63</v>
      </c>
      <c r="D30" s="39"/>
      <c r="E30" s="39"/>
      <c r="F30" s="39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1.2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1.2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11.2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11.2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1.2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1.2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1.2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1.2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1.2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1.2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1.2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1.2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1.2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1.2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11.2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11.2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11.2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1.2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ht="11.2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ht="11.2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ht="11.2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ht="11.2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ht="11.2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ht="11.2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ht="11.2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ht="11.2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ht="11.2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ht="11.2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ht="11.2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ht="11.2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ht="11.2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ht="11.2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ht="11.2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ht="11.2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ht="11.2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ht="11.2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ht="11.2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ht="11.2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ht="11.2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ht="11.2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ht="11.2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ht="11.2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ht="11.2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ht="11.2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ht="11.2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ht="11.2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ht="11.2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ht="11.2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ht="11.2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ht="11.2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ht="11.2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ht="11.2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ht="11.2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ht="11.2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ht="11.2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ht="11.2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ht="11.2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ht="11.2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ht="11.2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ht="11.2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ht="11.2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ht="11.2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ht="11.2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ht="11.2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ht="11.2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ht="11.2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ht="11.2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ht="11.2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ht="11.2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ht="11.2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ht="11.2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ht="11.2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ht="11.2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ht="11.2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ht="11.2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ht="11.2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ht="11.2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ht="11.2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ht="11.2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ht="11.2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ht="11.2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ht="11.2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ht="11.2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ht="11.2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ht="11.2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ht="11.2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ht="11.2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ht="11.2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ht="11.2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ht="11.2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ht="11.2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ht="11.2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ht="11.2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ht="11.2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ht="11.2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ht="11.2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ht="11.2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ht="11.2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ht="11.2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ht="11.2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ht="11.2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ht="11.2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ht="11.2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ht="11.2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ht="11.2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ht="11.2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ht="11.2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ht="11.2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ht="11.2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ht="11.2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ht="11.2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ht="11.2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ht="11.2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ht="11.2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ht="11.2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ht="11.2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ht="11.2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ht="11.2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ht="11.2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ht="11.2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ht="11.2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ht="11.2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ht="11.2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ht="11.2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ht="11.2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ht="11.2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ht="11.2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ht="11.2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ht="11.2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ht="11.2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ht="11.2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ht="11.2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ht="11.2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ht="11.2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ht="11.2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ht="11.2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ht="11.2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ht="11.2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ht="11.2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ht="11.2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ht="11.2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ht="11.2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ht="11.2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ht="11.2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ht="11.2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ht="11.2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ht="11.2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ht="11.2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ht="11.2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ht="11.2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ht="11.2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ht="11.2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ht="11.2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ht="11.2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ht="11.2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ht="11.2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ht="11.2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ht="11.2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ht="11.2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ht="11.2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ht="11.2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ht="11.2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ht="11.2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ht="11.2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ht="11.2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ht="11.2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ht="11.2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ht="11.2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ht="11.2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ht="11.2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ht="11.2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ht="11.2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ht="11.2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ht="11.2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ht="11.2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ht="11.2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ht="11.2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ht="11.2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ht="11.2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ht="11.2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ht="11.2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ht="11.2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ht="11.2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ht="11.2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ht="11.2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ht="11.2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ht="11.2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ht="11.2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ht="11.2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ht="11.2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ht="11.2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ht="11.2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ht="11.2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ht="11.2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ht="11.2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ht="11.2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ht="11.2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ht="11.2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ht="11.2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ht="11.2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ht="11.2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ht="11.2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ht="11.2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ht="11.2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ht="11.2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ht="11.2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ht="11.2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ht="11.2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ht="11.2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ht="11.2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ht="11.2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ht="11.2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ht="11.2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ht="11.2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ht="11.2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ht="11.2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ht="11.2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ht="11.2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ht="11.2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ht="11.2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ht="11.2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ht="11.2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ht="11.2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ht="11.2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ht="11.2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ht="11.2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ht="11.2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ht="11.2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ht="11.2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ht="11.2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ht="11.2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ht="11.2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ht="11.2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ht="11.2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ht="11.2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ht="11.2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ht="11.2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ht="11.2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ht="11.2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ht="11.2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ht="11.2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ht="11.2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ht="11.2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ht="11.2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ht="11.2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ht="11.2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ht="11.2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ht="11.2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ht="11.2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ht="11.2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ht="11.2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ht="11.2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ht="11.2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ht="11.2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ht="11.2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ht="11.2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ht="11.2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ht="11.2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ht="11.2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ht="11.2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ht="11.2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ht="11.2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ht="11.2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ht="11.2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ht="11.2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ht="11.2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ht="11.2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ht="11.2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ht="11.2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ht="11.2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ht="11.2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ht="11.2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ht="11.2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ht="11.2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ht="11.2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ht="11.2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ht="11.2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ht="11.2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ht="11.2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ht="11.2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ht="11.2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ht="11.2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ht="11.2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ht="11.2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ht="11.2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ht="11.2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ht="11.2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ht="11.2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ht="11.2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ht="11.2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ht="11.2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ht="11.2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ht="11.2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ht="11.2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ht="11.2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ht="11.2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ht="11.2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ht="11.2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ht="11.2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ht="11.2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ht="11.2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ht="11.2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ht="11.2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ht="11.2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ht="11.2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ht="11.2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ht="11.2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ht="11.2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ht="11.2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ht="11.2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ht="11.2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ht="11.2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ht="11.2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ht="11.2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ht="11.2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ht="11.2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ht="11.2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ht="11.2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ht="11.2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ht="11.2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ht="11.2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ht="11.2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ht="11.2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ht="11.2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ht="11.2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ht="11.2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ht="11.2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ht="11.2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ht="11.2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ht="11.2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ht="11.2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ht="11.2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ht="11.2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ht="11.2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ht="11.2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ht="11.2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ht="11.2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ht="11.2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ht="11.2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ht="11.2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ht="11.2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ht="11.2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ht="11.2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ht="11.2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ht="11.2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ht="11.2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ht="11.2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ht="11.2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ht="11.2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ht="11.2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ht="11.2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ht="11.2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ht="11.2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ht="11.2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ht="11.2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ht="11.2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ht="11.2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ht="11.2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ht="11.2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ht="11.2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ht="11.2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ht="11.2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ht="11.2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ht="11.2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ht="11.2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ht="11.2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ht="11.2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ht="11.2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ht="11.2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ht="11.2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ht="11.2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ht="11.2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ht="11.2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ht="11.2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ht="11.2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ht="11.2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ht="11.2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ht="11.2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ht="11.2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ht="11.2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ht="11.2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ht="11.2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ht="11.2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ht="11.2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ht="11.2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ht="11.2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ht="11.2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ht="11.2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ht="11.2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ht="11.2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ht="11.2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ht="11.2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ht="11.2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ht="11.2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ht="11.2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ht="11.2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ht="11.2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ht="11.2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ht="11.2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ht="11.2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ht="11.2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ht="11.2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ht="11.2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ht="11.2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ht="11.2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ht="11.2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ht="11.2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ht="11.2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ht="11.2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ht="11.2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ht="11.2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ht="11.2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ht="11.2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ht="11.2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ht="11.2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ht="11.2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ht="11.2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ht="11.2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ht="11.2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ht="11.2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ht="11.2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ht="11.2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ht="11.2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ht="11.2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ht="11.2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ht="11.2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ht="11.2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ht="11.2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ht="11.2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ht="11.2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ht="11.2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ht="11.2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ht="11.2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ht="11.2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ht="11.2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ht="11.2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ht="11.2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ht="11.2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ht="11.2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ht="11.2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ht="11.2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ht="11.2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ht="11.2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ht="11.2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ht="11.2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ht="11.2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ht="11.2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ht="11.2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ht="11.2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ht="11.2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ht="11.2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ht="11.2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ht="11.2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ht="11.2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ht="11.2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ht="11.2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ht="11.2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ht="11.2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ht="11.2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ht="11.2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ht="11.2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ht="11.2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ht="11.2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ht="11.2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ht="11.2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ht="11.2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ht="11.2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ht="11.2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ht="11.2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ht="11.2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ht="11.2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ht="11.2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ht="11.2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ht="11.2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ht="11.2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ht="11.2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ht="11.2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ht="11.2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ht="11.2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ht="11.2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ht="11.2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ht="11.2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ht="11.2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ht="11.2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ht="11.2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ht="11.2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ht="11.2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ht="11.2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ht="11.2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ht="11.2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ht="11.2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ht="11.2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ht="11.2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ht="11.2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ht="11.2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ht="11.2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ht="11.2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ht="11.2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ht="11.2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ht="11.2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ht="11.2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ht="11.2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ht="11.2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ht="11.2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ht="11.2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ht="11.2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ht="11.2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ht="11.2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ht="11.2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ht="11.2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ht="11.2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ht="11.2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ht="11.2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ht="11.2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ht="11.2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ht="11.2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ht="11.2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ht="11.2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ht="11.2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ht="11.2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ht="11.2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ht="11.2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ht="11.2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ht="11.2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ht="11.2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ht="11.2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ht="11.2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ht="11.2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ht="11.2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ht="11.2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ht="11.2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ht="11.2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ht="11.2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ht="11.2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ht="11.2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ht="11.2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ht="11.2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ht="11.2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ht="11.2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ht="11.2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ht="11.2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ht="11.2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ht="11.2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ht="11.2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ht="11.2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ht="11.2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ht="11.2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ht="11.2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ht="11.2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ht="11.2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ht="11.2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ht="11.2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ht="11.2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ht="11.2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ht="11.2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ht="11.2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ht="11.2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ht="11.2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ht="11.2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ht="11.2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ht="11.2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ht="11.2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ht="11.2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ht="11.2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ht="11.2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ht="11.2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ht="11.2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ht="11.2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ht="11.2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ht="11.2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ht="11.2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ht="11.2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ht="11.2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ht="11.2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ht="11.2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ht="11.2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ht="11.2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ht="11.2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ht="11.2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ht="11.2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ht="11.2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ht="11.2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ht="11.2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ht="11.2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ht="11.2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ht="11.2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ht="11.2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ht="11.2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ht="11.2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ht="11.2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ht="11.2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ht="11.2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ht="11.2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ht="11.2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ht="11.2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ht="11.2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ht="11.2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ht="11.2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ht="11.2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ht="11.2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ht="11.2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ht="11.2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ht="11.2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ht="11.2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ht="11.2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ht="11.2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ht="11.2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ht="11.2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ht="11.2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ht="11.2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ht="11.2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ht="11.2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ht="11.2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ht="11.2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ht="11.2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ht="11.2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ht="11.2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ht="11.2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ht="11.2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ht="11.2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ht="11.2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ht="11.2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ht="11.2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ht="11.2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ht="11.2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ht="11.2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ht="11.2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ht="11.2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ht="11.2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ht="11.2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ht="11.2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ht="11.2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ht="11.2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ht="11.2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ht="11.2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ht="11.2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ht="11.2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ht="11.2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ht="11.2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ht="11.2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ht="11.2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ht="11.2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ht="11.2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ht="11.2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ht="11.2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ht="11.2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ht="11.2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ht="11.2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ht="11.2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ht="11.2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ht="11.2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ht="11.2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ht="11.2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ht="11.2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ht="11.2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ht="11.2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ht="11.2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ht="11.2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ht="11.2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ht="11.2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ht="11.2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ht="11.2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ht="11.2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ht="11.2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ht="11.2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ht="11.2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ht="11.2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ht="11.2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ht="11.2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ht="11.2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ht="11.2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ht="11.2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ht="11.2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ht="11.2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ht="11.2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ht="11.2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ht="11.2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ht="11.2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ht="11.2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ht="11.2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ht="11.2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ht="11.2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ht="11.2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ht="11.2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ht="11.2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ht="11.2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ht="11.2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ht="11.2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ht="11.2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ht="11.2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ht="11.2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ht="11.2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ht="11.2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ht="11.2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ht="11.2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ht="11.2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ht="11.2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ht="11.2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ht="11.2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ht="11.2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ht="11.2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ht="11.2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ht="11.2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ht="11.2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ht="11.2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ht="11.2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ht="11.2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ht="11.2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ht="11.2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ht="11.2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ht="11.2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ht="11.2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ht="11.2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ht="11.2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ht="11.2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ht="11.2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ht="11.2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ht="11.2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ht="11.2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ht="11.2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ht="11.2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ht="11.2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ht="11.2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ht="11.2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ht="11.2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ht="11.2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ht="11.2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ht="11.2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ht="11.2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ht="11.2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ht="11.2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ht="11.2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ht="11.2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ht="11.2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ht="11.2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ht="11.2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ht="11.2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ht="11.2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ht="11.2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ht="11.2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ht="11.2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ht="11.2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ht="11.2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ht="11.2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ht="11.2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ht="11.2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ht="11.2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ht="11.2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ht="11.2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ht="11.2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ht="11.2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ht="11.2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ht="11.2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ht="11.2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ht="11.2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ht="11.2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ht="11.2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ht="11.2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ht="11.2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ht="11.2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ht="11.2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ht="11.2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ht="11.2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ht="11.2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ht="11.2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ht="11.2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ht="11.2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ht="11.2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ht="11.2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ht="11.2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ht="11.2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ht="11.2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ht="11.2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ht="11.2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ht="11.2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ht="11.2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ht="11.2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ht="11.2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ht="11.2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ht="11.2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ht="11.2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ht="11.2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ht="11.2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ht="11.2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ht="11.2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ht="11.2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ht="11.2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ht="11.2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ht="11.2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ht="11.2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ht="11.2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ht="11.2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ht="11.2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ht="11.2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ht="11.2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ht="11.2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ht="11.2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ht="11.2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ht="11.2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ht="11.2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ht="11.2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ht="11.2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ht="11.2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ht="11.2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ht="11.2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ht="11.2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ht="11.2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ht="11.2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ht="11.2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ht="11.2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ht="11.2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ht="11.2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ht="11.2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ht="11.2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ht="11.2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ht="11.2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ht="11.2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ht="11.2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ht="11.2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ht="11.2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ht="11.2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ht="11.2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ht="11.2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ht="11.2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ht="11.2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ht="11.2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ht="11.2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ht="11.2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ht="11.2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ht="11.2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ht="11.2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ht="11.2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ht="11.2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ht="11.2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ht="11.2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ht="11.2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ht="11.2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ht="11.2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ht="11.2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ht="11.2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ht="11.2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ht="11.2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ht="11.2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ht="11.2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ht="11.2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ht="11.2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ht="11.2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ht="11.2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ht="11.2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ht="11.2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ht="11.2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ht="11.2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ht="11.2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ht="11.2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ht="11.2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ht="11.2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ht="11.2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ht="11.2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ht="11.2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ht="11.2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ht="11.2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ht="11.2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ht="11.2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ht="11.2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ht="11.2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ht="11.2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ht="11.2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ht="11.2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ht="11.2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ht="11.2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ht="11.2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ht="11.2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ht="11.2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ht="11.2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ht="11.2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ht="11.2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ht="11.2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ht="11.2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ht="11.2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ht="11.2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ht="11.2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ht="11.2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ht="11.2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ht="11.2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ht="11.2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ht="11.2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ht="11.2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ht="11.2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ht="11.2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ht="11.2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ht="11.2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ht="11.2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ht="11.2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ht="11.2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ht="11.2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ht="11.2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ht="11.2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ht="11.2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ht="11.2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ht="11.2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ht="11.2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ht="11.2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ht="11.2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ht="11.2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ht="11.2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ht="11.2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ht="11.2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ht="11.2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ht="11.2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ht="11.2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ht="11.2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ht="11.2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ht="11.2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ht="11.2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ht="11.2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ht="11.2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ht="11.2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ht="11.2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ht="11.2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ht="11.2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ht="11.2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ht="11.2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ht="11.2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ht="11.2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ht="11.2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ht="11.2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ht="11.2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ht="11.2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ht="11.2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ht="11.2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ht="11.2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ht="11.2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ht="11.2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ht="11.2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ht="11.2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ht="11.2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ht="11.2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ht="11.2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ht="11.2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ht="11.2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ht="11.2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ht="11.2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ht="11.2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ht="11.2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ht="11.2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ht="11.2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ht="11.2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ht="11.2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ht="11.2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ht="11.2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ht="11.2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ht="11.2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ht="11.2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ht="11.2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ht="11.2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ht="11.2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ht="11.2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ht="11.2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ht="11.2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ht="11.2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ht="11.2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ht="11.2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ht="11.2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ht="11.2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ht="11.2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ht="11.2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ht="11.2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ht="11.2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ht="11.2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ht="11.2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4">
    <mergeCell ref="C5:F5"/>
    <mergeCell ref="C10:F10"/>
    <mergeCell ref="C20:F20"/>
    <mergeCell ref="C25:F2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>
      <c r="A3" s="41" t="s">
        <v>83</v>
      </c>
      <c r="B3" s="41" t="s">
        <v>84</v>
      </c>
      <c r="C3" s="41" t="s">
        <v>84</v>
      </c>
      <c r="D3" s="41" t="s">
        <v>84</v>
      </c>
      <c r="E3" s="41" t="s">
        <v>85</v>
      </c>
      <c r="F3" s="41" t="s">
        <v>85</v>
      </c>
      <c r="G3" s="41" t="s">
        <v>85</v>
      </c>
      <c r="H3" s="41" t="s">
        <v>86</v>
      </c>
      <c r="I3" s="41" t="s">
        <v>86</v>
      </c>
      <c r="J3" s="41" t="s">
        <v>86</v>
      </c>
    </row>
    <row r="4" ht="14.25" customHeight="1">
      <c r="A4" s="41" t="s">
        <v>87</v>
      </c>
      <c r="B4" s="41" t="s">
        <v>88</v>
      </c>
      <c r="C4" s="41" t="s">
        <v>89</v>
      </c>
      <c r="D4" s="41" t="s">
        <v>90</v>
      </c>
      <c r="E4" s="41" t="s">
        <v>88</v>
      </c>
      <c r="F4" s="41" t="s">
        <v>89</v>
      </c>
      <c r="G4" s="41" t="s">
        <v>90</v>
      </c>
      <c r="H4" s="41" t="s">
        <v>88</v>
      </c>
      <c r="I4" s="41" t="s">
        <v>89</v>
      </c>
      <c r="J4" s="41" t="s">
        <v>90</v>
      </c>
    </row>
    <row r="5" ht="14.25" customHeight="1">
      <c r="A5" s="41" t="s">
        <v>91</v>
      </c>
      <c r="B5" s="42">
        <v>0.015</v>
      </c>
      <c r="C5" s="42">
        <v>0.022</v>
      </c>
      <c r="D5" s="42">
        <v>-0.036</v>
      </c>
      <c r="E5" s="42">
        <v>0.001</v>
      </c>
      <c r="F5" s="42">
        <v>0.022</v>
      </c>
      <c r="G5" s="42">
        <v>-0.13</v>
      </c>
      <c r="H5" s="42">
        <v>0.021</v>
      </c>
      <c r="I5" s="42">
        <v>0.022</v>
      </c>
      <c r="J5" s="42">
        <v>0.011</v>
      </c>
    </row>
    <row r="6" ht="14.25" customHeight="1">
      <c r="A6" s="41" t="s">
        <v>8</v>
      </c>
      <c r="B6" s="42">
        <v>0.021</v>
      </c>
      <c r="C6" s="42">
        <v>0.024</v>
      </c>
      <c r="D6" s="42">
        <v>0.003</v>
      </c>
      <c r="E6" s="42">
        <v>0.009</v>
      </c>
      <c r="F6" s="42">
        <v>0.015</v>
      </c>
      <c r="G6" s="42">
        <v>-0.031</v>
      </c>
      <c r="H6" s="42">
        <v>0.027</v>
      </c>
      <c r="I6" s="42">
        <v>0.028</v>
      </c>
      <c r="J6" s="42">
        <v>0.019</v>
      </c>
    </row>
    <row r="7" ht="14.25" customHeight="1">
      <c r="A7" s="41" t="s">
        <v>9</v>
      </c>
      <c r="B7" s="42">
        <v>0.006</v>
      </c>
      <c r="C7" s="42">
        <v>0.014</v>
      </c>
      <c r="D7" s="42">
        <v>-0.056</v>
      </c>
      <c r="E7" s="42">
        <v>0.008</v>
      </c>
      <c r="F7" s="42">
        <v>0.017</v>
      </c>
      <c r="G7" s="42">
        <v>-0.059</v>
      </c>
      <c r="H7" s="42">
        <v>0.005</v>
      </c>
      <c r="I7" s="42">
        <v>0.013</v>
      </c>
      <c r="J7" s="42">
        <v>-0.055</v>
      </c>
    </row>
    <row r="8" ht="14.25" customHeight="1">
      <c r="A8" s="41" t="s">
        <v>10</v>
      </c>
      <c r="B8" s="42">
        <v>-0.144</v>
      </c>
      <c r="C8" s="42">
        <v>-0.129</v>
      </c>
      <c r="D8" s="42">
        <v>-0.256</v>
      </c>
      <c r="E8" s="42">
        <v>-0.173</v>
      </c>
      <c r="F8" s="42">
        <v>-0.174</v>
      </c>
      <c r="G8" s="42">
        <v>-0.164</v>
      </c>
      <c r="H8" s="42">
        <v>-0.13</v>
      </c>
      <c r="I8" s="42">
        <v>-0.108</v>
      </c>
      <c r="J8" s="42">
        <v>-0.294</v>
      </c>
    </row>
    <row r="9" ht="14.25" customHeight="1">
      <c r="A9" s="41" t="s">
        <v>11</v>
      </c>
      <c r="B9" s="42">
        <v>-0.077</v>
      </c>
      <c r="C9" s="42">
        <v>-0.064</v>
      </c>
      <c r="D9" s="42">
        <v>-0.168</v>
      </c>
      <c r="E9" s="42">
        <v>-0.111</v>
      </c>
      <c r="F9" s="42">
        <v>-0.104</v>
      </c>
      <c r="G9" s="42">
        <v>-0.169</v>
      </c>
      <c r="H9" s="42">
        <v>-0.06</v>
      </c>
      <c r="I9" s="42">
        <v>-0.045</v>
      </c>
      <c r="J9" s="42">
        <v>-0.167</v>
      </c>
    </row>
    <row r="10" ht="14.25" customHeight="1">
      <c r="A10" s="41" t="s">
        <v>12</v>
      </c>
      <c r="B10" s="42">
        <v>-0.034</v>
      </c>
      <c r="C10" s="42">
        <v>-0.031</v>
      </c>
      <c r="D10" s="42">
        <v>-0.062</v>
      </c>
      <c r="E10" s="42">
        <v>-0.058</v>
      </c>
      <c r="F10" s="42">
        <v>-0.035</v>
      </c>
      <c r="G10" s="42">
        <v>-0.228</v>
      </c>
      <c r="H10" s="42">
        <v>-0.023</v>
      </c>
      <c r="I10" s="42">
        <v>-0.028</v>
      </c>
      <c r="J10" s="42">
        <v>0.019</v>
      </c>
    </row>
    <row r="11" ht="14.25" customHeight="1">
      <c r="A11" s="41" t="s">
        <v>13</v>
      </c>
      <c r="B11" s="42">
        <v>-0.026</v>
      </c>
      <c r="C11" s="42">
        <v>-0.019</v>
      </c>
      <c r="D11" s="42">
        <v>-0.076</v>
      </c>
      <c r="E11" s="42">
        <v>-0.042</v>
      </c>
      <c r="F11" s="42">
        <v>-0.023</v>
      </c>
      <c r="G11" s="42">
        <v>-0.187</v>
      </c>
      <c r="H11" s="42">
        <v>-0.019</v>
      </c>
      <c r="I11" s="42">
        <v>-0.017</v>
      </c>
      <c r="J11" s="42">
        <v>-0.028</v>
      </c>
    </row>
    <row r="12" ht="14.25" customHeight="1">
      <c r="A12" s="41" t="s">
        <v>14</v>
      </c>
      <c r="B12" s="42">
        <v>-0.025</v>
      </c>
      <c r="C12" s="42">
        <v>-0.013</v>
      </c>
      <c r="D12" s="42">
        <v>-0.114</v>
      </c>
      <c r="E12" s="42">
        <v>-0.023</v>
      </c>
      <c r="F12" s="42">
        <v>-0.014</v>
      </c>
      <c r="G12" s="42">
        <v>-0.093</v>
      </c>
      <c r="H12" s="42">
        <v>-0.026</v>
      </c>
      <c r="I12" s="42">
        <v>-0.012</v>
      </c>
      <c r="J12" s="42">
        <v>-0.123</v>
      </c>
    </row>
    <row r="13" ht="14.25" customHeight="1">
      <c r="A13" s="41" t="s">
        <v>15</v>
      </c>
      <c r="B13" s="42">
        <v>-0.027</v>
      </c>
      <c r="C13" s="42">
        <v>-0.016</v>
      </c>
      <c r="D13" s="42">
        <v>-0.106</v>
      </c>
      <c r="E13" s="42">
        <v>-0.054</v>
      </c>
      <c r="F13" s="42">
        <v>-0.025</v>
      </c>
      <c r="G13" s="42">
        <v>-0.264</v>
      </c>
      <c r="H13" s="42">
        <v>-0.015</v>
      </c>
      <c r="I13" s="42">
        <v>-0.012</v>
      </c>
      <c r="J13" s="42">
        <v>-0.033</v>
      </c>
    </row>
    <row r="14" ht="14.25" customHeight="1">
      <c r="A14" s="41" t="s">
        <v>16</v>
      </c>
      <c r="B14" s="42">
        <v>-0.029</v>
      </c>
      <c r="C14" s="42">
        <v>-0.019</v>
      </c>
      <c r="D14" s="42">
        <v>-0.105</v>
      </c>
      <c r="E14" s="42">
        <v>-0.053</v>
      </c>
      <c r="F14" s="42">
        <v>-0.026</v>
      </c>
      <c r="G14" s="42">
        <v>-0.254</v>
      </c>
      <c r="H14" s="42">
        <v>-0.018</v>
      </c>
      <c r="I14" s="42">
        <v>-0.016</v>
      </c>
      <c r="J14" s="42">
        <v>-0.038</v>
      </c>
    </row>
    <row r="15" ht="14.25" customHeight="1">
      <c r="A15" s="41" t="s">
        <v>17</v>
      </c>
      <c r="B15" s="42">
        <v>-0.031047594566307322</v>
      </c>
      <c r="C15" s="42">
        <v>-0.017861316217660284</v>
      </c>
      <c r="D15" s="42">
        <v>-0.12794237113777826</v>
      </c>
      <c r="E15" s="42">
        <v>-0.05541789181985954</v>
      </c>
      <c r="F15" s="42">
        <v>-0.027597156057004996</v>
      </c>
      <c r="G15" s="42">
        <v>-0.27164352254126967</v>
      </c>
      <c r="H15" s="42">
        <v>-0.019513624315184483</v>
      </c>
      <c r="I15" s="42">
        <v>-0.06466581922630922</v>
      </c>
      <c r="J15" s="42">
        <v>-0.013208751228386271</v>
      </c>
    </row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